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correoiueedu.sharepoint.com/sites/FormulacinPEDI2025-20299/Shared Documents/General/VERSIONES FINALES/"/>
    </mc:Choice>
  </mc:AlternateContent>
  <xr:revisionPtr revIDLastSave="45" documentId="13_ncr:1_{741469CE-9A2D-45A8-96EB-BA24FD27DCB8}" xr6:coauthVersionLast="47" xr6:coauthVersionMax="47" xr10:uidLastSave="{33CB89ED-9683-4368-8C18-0B1C5E3AB1A6}"/>
  <bookViews>
    <workbookView xWindow="0" yWindow="0" windowWidth="10245" windowHeight="10920" xr2:uid="{F27D56FC-4D0A-4111-8FA2-595E2E07CCE0}"/>
  </bookViews>
  <sheets>
    <sheet name="Plan Indicativo PEDI" sheetId="8" r:id="rId1"/>
    <sheet name="PI_V1" sheetId="5" state="hidden" r:id="rId2"/>
    <sheet name="Presupuesto" sheetId="6" state="hidden" r:id="rId3"/>
    <sheet name="Detallado" sheetId="1" state="hidden" r:id="rId4"/>
  </sheets>
  <externalReferences>
    <externalReference r:id="rId5"/>
  </externalReferences>
  <definedNames>
    <definedName name="_xlnm._FilterDatabase" localSheetId="3" hidden="1">Detallado!$A$1:$I$471</definedName>
    <definedName name="_xlnm._FilterDatabase" localSheetId="1" hidden="1">PI_V1!$A$3:$V$242</definedName>
    <definedName name="_xlnm._FilterDatabase" localSheetId="0" hidden="1">'Plan Indicativo PEDI'!$A$2:$P$223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7" i="8" l="1"/>
  <c r="L100" i="8"/>
  <c r="L223" i="8" l="1"/>
  <c r="M223" i="8" s="1"/>
  <c r="N223" i="8" s="1"/>
  <c r="L214" i="8"/>
  <c r="M214" i="8" s="1"/>
  <c r="N214" i="8" s="1"/>
  <c r="O214" i="8" s="1"/>
  <c r="P214" i="8" s="1"/>
  <c r="P206" i="8"/>
  <c r="K197" i="8"/>
  <c r="L197" i="8" s="1"/>
  <c r="M197" i="8" s="1"/>
  <c r="N197" i="8" s="1"/>
  <c r="O197" i="8" s="1"/>
  <c r="P197" i="8" s="1"/>
  <c r="K196" i="8"/>
  <c r="L196" i="8" s="1"/>
  <c r="M196" i="8" s="1"/>
  <c r="N196" i="8" s="1"/>
  <c r="O196" i="8" s="1"/>
  <c r="P196" i="8" s="1"/>
  <c r="K198" i="8"/>
  <c r="L198" i="8" s="1"/>
  <c r="M198" i="8" s="1"/>
  <c r="N198" i="8" s="1"/>
  <c r="O198" i="8" s="1"/>
  <c r="P198" i="8" s="1"/>
  <c r="L182" i="8"/>
  <c r="M182" i="8" s="1"/>
  <c r="N182" i="8" s="1"/>
  <c r="O182" i="8" s="1"/>
  <c r="P182" i="8" s="1"/>
  <c r="L174" i="8"/>
  <c r="M174" i="8" s="1"/>
  <c r="N174" i="8" s="1"/>
  <c r="O174" i="8" s="1"/>
  <c r="P174" i="8" s="1"/>
  <c r="L145" i="8"/>
  <c r="M145" i="8" s="1"/>
  <c r="N145" i="8" s="1"/>
  <c r="O145" i="8" s="1"/>
  <c r="P145" i="8" s="1"/>
  <c r="L144" i="8"/>
  <c r="M144" i="8" s="1"/>
  <c r="N144" i="8" s="1"/>
  <c r="O144" i="8" s="1"/>
  <c r="P144" i="8" s="1"/>
  <c r="L142" i="8"/>
  <c r="M142" i="8" s="1"/>
  <c r="N142" i="8" s="1"/>
  <c r="O142" i="8" s="1"/>
  <c r="P142" i="8" s="1"/>
  <c r="K141" i="8"/>
  <c r="L141" i="8" s="1"/>
  <c r="M141" i="8" s="1"/>
  <c r="N141" i="8" s="1"/>
  <c r="O141" i="8" s="1"/>
  <c r="P141" i="8" s="1"/>
  <c r="L138" i="8"/>
  <c r="M138" i="8" s="1"/>
  <c r="N138" i="8" s="1"/>
  <c r="O138" i="8" s="1"/>
  <c r="P138" i="8" s="1"/>
  <c r="K135" i="8"/>
  <c r="L135" i="8" s="1"/>
  <c r="M135" i="8" s="1"/>
  <c r="N135" i="8" s="1"/>
  <c r="O135" i="8" s="1"/>
  <c r="P135" i="8" s="1"/>
  <c r="K136" i="8"/>
  <c r="L136" i="8" s="1"/>
  <c r="M136" i="8" s="1"/>
  <c r="N136" i="8" s="1"/>
  <c r="O136" i="8" s="1"/>
  <c r="P136" i="8" s="1"/>
  <c r="L137" i="8"/>
  <c r="M137" i="8" s="1"/>
  <c r="N137" i="8" s="1"/>
  <c r="O137" i="8" s="1"/>
  <c r="P137" i="8" s="1"/>
  <c r="L125" i="8"/>
  <c r="M125" i="8" s="1"/>
  <c r="N125" i="8" s="1"/>
  <c r="O125" i="8" s="1"/>
  <c r="P125" i="8" s="1"/>
  <c r="L123" i="8"/>
  <c r="M123" i="8" s="1"/>
  <c r="N123" i="8" s="1"/>
  <c r="O123" i="8" s="1"/>
  <c r="P123" i="8" s="1"/>
  <c r="L119" i="8"/>
  <c r="M119" i="8" s="1"/>
  <c r="N119" i="8" s="1"/>
  <c r="O119" i="8" s="1"/>
  <c r="P119" i="8" s="1"/>
  <c r="L118" i="8"/>
  <c r="M118" i="8" s="1"/>
  <c r="N118" i="8" s="1"/>
  <c r="O118" i="8" s="1"/>
  <c r="P118" i="8" s="1"/>
  <c r="L117" i="8"/>
  <c r="M117" i="8" s="1"/>
  <c r="N117" i="8" s="1"/>
  <c r="O117" i="8" s="1"/>
  <c r="P117" i="8" s="1"/>
  <c r="M100" i="8"/>
  <c r="N100" i="8" s="1"/>
  <c r="O100" i="8" s="1"/>
  <c r="P100" i="8" s="1"/>
  <c r="K88" i="8"/>
  <c r="L88" i="8" s="1"/>
  <c r="M88" i="8" s="1"/>
  <c r="N88" i="8" s="1"/>
  <c r="O88" i="8" s="1"/>
  <c r="L86" i="8"/>
  <c r="M86" i="8" s="1"/>
  <c r="N86" i="8" s="1"/>
  <c r="O86" i="8" s="1"/>
  <c r="P86" i="8" s="1"/>
  <c r="K72" i="8"/>
  <c r="L72" i="8" s="1"/>
  <c r="M72" i="8" s="1"/>
  <c r="N72" i="8" s="1"/>
  <c r="O72" i="8" s="1"/>
  <c r="P72" i="8" s="1"/>
  <c r="K73" i="8"/>
  <c r="L73" i="8" s="1"/>
  <c r="M73" i="8" s="1"/>
  <c r="N73" i="8" s="1"/>
  <c r="O73" i="8" s="1"/>
  <c r="P73" i="8" s="1"/>
  <c r="K74" i="8"/>
  <c r="L74" i="8" s="1"/>
  <c r="M74" i="8" s="1"/>
  <c r="N74" i="8" s="1"/>
  <c r="K27" i="8"/>
  <c r="L27" i="8" s="1"/>
  <c r="M27" i="8" s="1"/>
  <c r="N27" i="8" s="1"/>
  <c r="O27" i="8" s="1"/>
  <c r="P27" i="8" s="1"/>
  <c r="M8" i="8"/>
  <c r="N8" i="8" s="1"/>
  <c r="O8" i="8" s="1"/>
  <c r="P8" i="8" s="1"/>
  <c r="K8" i="8"/>
  <c r="K87" i="8"/>
  <c r="L87" i="8" s="1"/>
  <c r="M87" i="8" s="1"/>
  <c r="N87" i="8" s="1"/>
  <c r="O87" i="8" s="1"/>
  <c r="K82" i="8"/>
  <c r="L82" i="8" s="1"/>
  <c r="M82" i="8" s="1"/>
  <c r="N82" i="8" s="1"/>
  <c r="O82" i="8" s="1"/>
  <c r="K83" i="8"/>
  <c r="L83" i="8" s="1"/>
  <c r="M83" i="8" s="1"/>
  <c r="N83" i="8" s="1"/>
  <c r="O83" i="8" s="1"/>
  <c r="P83" i="8" s="1"/>
  <c r="L77" i="8"/>
  <c r="M77" i="8" s="1"/>
  <c r="N77" i="8" s="1"/>
  <c r="O77" i="8" s="1"/>
  <c r="P77" i="8" s="1"/>
  <c r="L65" i="8"/>
  <c r="M65" i="8" s="1"/>
  <c r="N65" i="8" s="1"/>
  <c r="O65" i="8" s="1"/>
  <c r="P65" i="8" s="1"/>
  <c r="K61" i="8"/>
  <c r="L61" i="8" s="1"/>
  <c r="M61" i="8" s="1"/>
  <c r="N61" i="8" s="1"/>
  <c r="O61" i="8" s="1"/>
  <c r="P61" i="8" s="1"/>
  <c r="K60" i="8"/>
  <c r="L60" i="8" s="1"/>
  <c r="M60" i="8" s="1"/>
  <c r="N60" i="8" s="1"/>
  <c r="O60" i="8" s="1"/>
  <c r="P60" i="8" s="1"/>
  <c r="K56" i="8"/>
  <c r="L56" i="8" s="1"/>
  <c r="M56" i="8" s="1"/>
  <c r="N56" i="8" s="1"/>
  <c r="O56" i="8" s="1"/>
  <c r="P56" i="8" s="1"/>
  <c r="M52" i="8"/>
  <c r="N52" i="8" s="1"/>
  <c r="O52" i="8" s="1"/>
  <c r="P52" i="8" s="1"/>
  <c r="K39" i="8"/>
  <c r="K35" i="8"/>
  <c r="L35" i="8" s="1"/>
  <c r="M35" i="8" s="1"/>
  <c r="N35" i="8" s="1"/>
  <c r="O35" i="8" s="1"/>
  <c r="P35" i="8" s="1"/>
  <c r="M18" i="8"/>
  <c r="N18" i="8" s="1"/>
  <c r="O18" i="8" s="1"/>
  <c r="P18" i="8" s="1"/>
  <c r="K4" i="8"/>
  <c r="L4" i="8" s="1"/>
  <c r="M4" i="8" s="1"/>
  <c r="N4" i="8" s="1"/>
  <c r="O4" i="8" s="1"/>
  <c r="P4" i="8" s="1"/>
  <c r="L205" i="8"/>
  <c r="M205" i="8" s="1"/>
  <c r="N205" i="8" s="1"/>
  <c r="O205" i="8" s="1"/>
  <c r="L185" i="8"/>
  <c r="M185" i="8" s="1"/>
  <c r="N185" i="8" s="1"/>
  <c r="O185" i="8" s="1"/>
  <c r="L178" i="8"/>
  <c r="M178" i="8" s="1"/>
  <c r="N178" i="8" s="1"/>
  <c r="O178" i="8" s="1"/>
  <c r="P178" i="8" s="1"/>
  <c r="L164" i="8"/>
  <c r="M164" i="8" s="1"/>
  <c r="N164" i="8" s="1"/>
  <c r="O164" i="8" s="1"/>
  <c r="P164" i="8" s="1"/>
  <c r="L175" i="8"/>
  <c r="M175" i="8" s="1"/>
  <c r="N175" i="8" s="1"/>
  <c r="O175" i="8" s="1"/>
  <c r="P175" i="8" s="1"/>
  <c r="L140" i="8"/>
  <c r="M140" i="8" s="1"/>
  <c r="N140" i="8" s="1"/>
  <c r="O140" i="8" s="1"/>
  <c r="P140" i="8" s="1"/>
  <c r="L53" i="8"/>
  <c r="M53" i="8" s="1"/>
  <c r="N53" i="8" s="1"/>
  <c r="O53" i="8" s="1"/>
  <c r="P53" i="8" s="1"/>
  <c r="L97" i="8"/>
  <c r="M97" i="8" s="1"/>
  <c r="N97" i="8" s="1"/>
  <c r="O97" i="8" s="1"/>
  <c r="L96" i="8"/>
  <c r="M96" i="8" s="1"/>
  <c r="N96" i="8" s="1"/>
  <c r="O96" i="8" s="1"/>
  <c r="L94" i="8"/>
  <c r="M94" i="8" s="1"/>
  <c r="N94" i="8" s="1"/>
  <c r="O94" i="8" s="1"/>
  <c r="L93" i="8"/>
  <c r="M93" i="8" s="1"/>
  <c r="N93" i="8" s="1"/>
  <c r="O93" i="8" s="1"/>
  <c r="L63" i="8"/>
  <c r="M63" i="8" s="1"/>
  <c r="N63" i="8" s="1"/>
  <c r="O63" i="8" s="1"/>
  <c r="P63" i="8" s="1"/>
  <c r="L62" i="8"/>
  <c r="M62" i="8" s="1"/>
  <c r="N62" i="8" s="1"/>
  <c r="O62" i="8" s="1"/>
  <c r="P62" i="8" s="1"/>
  <c r="J214" i="8"/>
  <c r="N17" i="8"/>
  <c r="I97" i="6"/>
  <c r="I96" i="6"/>
  <c r="I95" i="6"/>
  <c r="I94" i="6"/>
  <c r="I93" i="6"/>
  <c r="I92" i="6"/>
  <c r="I91" i="6"/>
  <c r="I84" i="6"/>
  <c r="I88" i="6"/>
  <c r="I100" i="6"/>
  <c r="I98" i="6"/>
  <c r="H98" i="6"/>
  <c r="I72" i="6"/>
  <c r="I87" i="6"/>
  <c r="I86" i="6"/>
  <c r="I85" i="6"/>
  <c r="I83" i="6"/>
  <c r="I82" i="6"/>
  <c r="I81" i="6"/>
  <c r="I80" i="6"/>
  <c r="I63" i="6"/>
  <c r="E88" i="6"/>
  <c r="E100" i="6"/>
  <c r="F88" i="6"/>
  <c r="F100" i="6"/>
  <c r="G88" i="6"/>
  <c r="G100" i="6"/>
  <c r="H88" i="6"/>
  <c r="H100" i="6"/>
  <c r="D88" i="6"/>
  <c r="D100" i="6"/>
  <c r="D72" i="6"/>
  <c r="D66" i="6"/>
  <c r="D98" i="6"/>
  <c r="H41" i="6"/>
  <c r="G41" i="6"/>
  <c r="F41" i="6"/>
  <c r="E41" i="6"/>
  <c r="D35" i="6"/>
  <c r="D43" i="6"/>
  <c r="D41" i="6"/>
  <c r="L167" i="8"/>
  <c r="M167" i="8" s="1"/>
  <c r="N167" i="8" s="1"/>
  <c r="O167" i="8" s="1"/>
  <c r="L181" i="8"/>
  <c r="M181" i="8" s="1"/>
  <c r="N181" i="8" s="1"/>
  <c r="L166" i="8"/>
  <c r="M166" i="8" s="1"/>
  <c r="N166" i="8" s="1"/>
  <c r="O166" i="8" s="1"/>
  <c r="L180" i="8"/>
  <c r="M180" i="8" s="1"/>
  <c r="N180" i="8" s="1"/>
  <c r="O180" i="8" s="1"/>
  <c r="L165" i="8"/>
  <c r="M165" i="8" s="1"/>
  <c r="N165" i="8" s="1"/>
  <c r="O165" i="8" s="1"/>
  <c r="P165" i="8" s="1"/>
  <c r="L179" i="8"/>
  <c r="M179" i="8" s="1"/>
  <c r="N179" i="8" s="1"/>
  <c r="O179" i="8" s="1"/>
  <c r="P179" i="8" s="1"/>
  <c r="O186" i="8"/>
  <c r="N186" i="8"/>
  <c r="M186" i="8"/>
  <c r="L186" i="8"/>
  <c r="L115" i="8"/>
  <c r="M115" i="8" s="1"/>
  <c r="N115" i="8" s="1"/>
  <c r="O115" i="8" s="1"/>
  <c r="L116" i="8"/>
  <c r="M116" i="8" s="1"/>
  <c r="N116" i="8" s="1"/>
  <c r="O116" i="8" s="1"/>
  <c r="L122" i="8"/>
  <c r="M122" i="8" s="1"/>
  <c r="N122" i="8" s="1"/>
  <c r="O122" i="8" s="1"/>
  <c r="P122" i="8" s="1"/>
  <c r="L114" i="8"/>
  <c r="M114" i="8" s="1"/>
  <c r="N114" i="8" s="1"/>
  <c r="O114" i="8" s="1"/>
  <c r="P114" i="8" s="1"/>
  <c r="L121" i="8"/>
  <c r="M121" i="8" s="1"/>
  <c r="N121" i="8" s="1"/>
  <c r="O121" i="8" s="1"/>
  <c r="P121" i="8" s="1"/>
  <c r="P94" i="8"/>
  <c r="P93" i="8"/>
  <c r="P87" i="8"/>
  <c r="P46" i="8"/>
  <c r="O46" i="8"/>
  <c r="N46" i="8"/>
  <c r="M46" i="8"/>
  <c r="K42" i="8"/>
  <c r="L42" i="8" s="1"/>
  <c r="M42" i="8" s="1"/>
  <c r="O42" i="8" s="1"/>
  <c r="P42" i="8" s="1"/>
  <c r="P33" i="8"/>
  <c r="O33" i="8"/>
  <c r="L33" i="8"/>
  <c r="P20" i="8"/>
  <c r="K22" i="8"/>
  <c r="L22" i="8" s="1"/>
  <c r="M22" i="8" s="1"/>
  <c r="N22" i="8" s="1"/>
  <c r="O22" i="8" s="1"/>
  <c r="P22" i="8" s="1"/>
  <c r="K21" i="8"/>
  <c r="L21" i="8" s="1"/>
  <c r="M21" i="8" s="1"/>
  <c r="N21" i="8" s="1"/>
  <c r="O21" i="8" s="1"/>
  <c r="P21" i="8" s="1"/>
  <c r="I16" i="6"/>
  <c r="H18" i="6"/>
  <c r="G18" i="6"/>
  <c r="F18" i="6"/>
  <c r="E18" i="6"/>
  <c r="D18" i="6"/>
  <c r="I49" i="6"/>
  <c r="I51" i="6"/>
  <c r="G98" i="6"/>
  <c r="F98" i="6"/>
  <c r="E98" i="6"/>
  <c r="I65" i="6"/>
  <c r="H66" i="6"/>
  <c r="G66" i="6"/>
  <c r="F66" i="6"/>
  <c r="E66" i="6"/>
  <c r="H72" i="6"/>
  <c r="G72" i="6"/>
  <c r="F72" i="6"/>
  <c r="E72" i="6"/>
  <c r="H59" i="6"/>
  <c r="G59" i="6"/>
  <c r="F59" i="6"/>
  <c r="E59" i="6"/>
  <c r="D59" i="6"/>
  <c r="I58" i="6"/>
  <c r="I57" i="6"/>
  <c r="I56" i="6"/>
  <c r="I55" i="6"/>
  <c r="I54" i="6"/>
  <c r="D51" i="6"/>
  <c r="D74" i="6"/>
  <c r="I64" i="6"/>
  <c r="I66" i="6"/>
  <c r="I62" i="6"/>
  <c r="H51" i="6"/>
  <c r="H74" i="6"/>
  <c r="G51" i="6"/>
  <c r="G74" i="6"/>
  <c r="F51" i="6"/>
  <c r="F74" i="6"/>
  <c r="E51" i="6"/>
  <c r="E74" i="6"/>
  <c r="I50" i="6"/>
  <c r="L38" i="5"/>
  <c r="M38" i="5"/>
  <c r="N38" i="5"/>
  <c r="O38" i="5"/>
  <c r="K37" i="5"/>
  <c r="D13" i="6"/>
  <c r="D27" i="6"/>
  <c r="I17" i="6"/>
  <c r="I18" i="6"/>
  <c r="I40" i="6"/>
  <c r="I38" i="6"/>
  <c r="I39" i="6"/>
  <c r="D25" i="6"/>
  <c r="I34" i="6"/>
  <c r="I33" i="6"/>
  <c r="I32" i="6"/>
  <c r="I35" i="6"/>
  <c r="I43" i="6"/>
  <c r="I24" i="6"/>
  <c r="I23" i="6"/>
  <c r="I22" i="6"/>
  <c r="I21" i="6"/>
  <c r="I12" i="6"/>
  <c r="I11" i="6"/>
  <c r="I10" i="6"/>
  <c r="I9" i="6"/>
  <c r="I8" i="6"/>
  <c r="I7" i="6"/>
  <c r="I6" i="6"/>
  <c r="I5" i="6"/>
  <c r="I13" i="6"/>
  <c r="I27" i="6"/>
  <c r="I4" i="6"/>
  <c r="H35" i="6"/>
  <c r="H43" i="6"/>
  <c r="H25" i="6"/>
  <c r="G25" i="6"/>
  <c r="F25" i="6"/>
  <c r="E25" i="6"/>
  <c r="G35" i="6"/>
  <c r="G43" i="6"/>
  <c r="F35" i="6"/>
  <c r="F43" i="6"/>
  <c r="E35" i="6"/>
  <c r="E43" i="6"/>
  <c r="A24" i="6"/>
  <c r="H13" i="6"/>
  <c r="H27" i="6"/>
  <c r="G13" i="6"/>
  <c r="F13" i="6"/>
  <c r="F27" i="6"/>
  <c r="E13" i="6"/>
  <c r="C13" i="6"/>
  <c r="B6" i="6"/>
  <c r="E27" i="6"/>
  <c r="G27" i="6"/>
  <c r="I41" i="6"/>
  <c r="I59" i="6"/>
  <c r="I25" i="6"/>
  <c r="L189" i="5"/>
  <c r="M189" i="5"/>
  <c r="N189" i="5"/>
  <c r="L187" i="5"/>
  <c r="M187" i="5"/>
  <c r="N187" i="5"/>
  <c r="O187" i="5"/>
  <c r="P73" i="5"/>
  <c r="O73" i="5"/>
  <c r="L73" i="5"/>
  <c r="M73" i="5"/>
  <c r="N73" i="5"/>
  <c r="L217" i="5"/>
  <c r="M217" i="5"/>
  <c r="N217" i="5"/>
  <c r="O217" i="5"/>
  <c r="R177" i="5"/>
  <c r="Q177" i="5"/>
  <c r="L190" i="5"/>
  <c r="M190" i="5"/>
  <c r="N190" i="5"/>
  <c r="O190" i="5"/>
  <c r="L188" i="5"/>
  <c r="M188" i="5"/>
  <c r="N188" i="5"/>
  <c r="O188" i="5"/>
  <c r="L183" i="5"/>
  <c r="M183" i="5"/>
  <c r="N183" i="5"/>
  <c r="O183" i="5"/>
  <c r="P183" i="5"/>
  <c r="L180" i="5"/>
  <c r="M180" i="5"/>
  <c r="N180" i="5"/>
  <c r="O180" i="5"/>
  <c r="P180" i="5"/>
  <c r="L218" i="5"/>
  <c r="M218" i="5"/>
  <c r="N218" i="5"/>
  <c r="O218" i="5"/>
  <c r="R190" i="5"/>
  <c r="Q190" i="5"/>
  <c r="R189" i="5"/>
  <c r="Q189" i="5"/>
  <c r="R188" i="5"/>
  <c r="Q188" i="5"/>
  <c r="R187" i="5"/>
  <c r="Q187" i="5"/>
  <c r="R183" i="5"/>
  <c r="Q183" i="5"/>
  <c r="R182" i="5"/>
  <c r="Q182" i="5"/>
  <c r="R164" i="5"/>
  <c r="Q164" i="5"/>
  <c r="L131" i="5"/>
  <c r="M131" i="5"/>
  <c r="N131" i="5"/>
  <c r="O131" i="5"/>
  <c r="P131" i="5"/>
  <c r="L128" i="5"/>
  <c r="M128" i="5"/>
  <c r="N128" i="5"/>
  <c r="O128" i="5"/>
  <c r="R113" i="5"/>
  <c r="R126" i="5"/>
  <c r="Q126" i="5"/>
  <c r="L122" i="5"/>
  <c r="M122" i="5"/>
  <c r="N122" i="5"/>
  <c r="O122" i="5"/>
  <c r="R252" i="5"/>
  <c r="Q252" i="5"/>
  <c r="R251" i="5"/>
  <c r="R250" i="5"/>
  <c r="Q250" i="5"/>
  <c r="V250" i="5"/>
  <c r="U250" i="5"/>
  <c r="T250" i="5"/>
  <c r="S250" i="5"/>
  <c r="R249" i="5"/>
  <c r="Q249" i="5"/>
  <c r="R248" i="5"/>
  <c r="R247" i="5"/>
  <c r="Q247" i="5"/>
  <c r="V247" i="5"/>
  <c r="U247" i="5"/>
  <c r="T247" i="5"/>
  <c r="S247" i="5"/>
  <c r="R246" i="5"/>
  <c r="Q246" i="5"/>
  <c r="R245" i="5"/>
  <c r="Q245" i="5"/>
  <c r="P245" i="5"/>
  <c r="V244" i="5"/>
  <c r="U244" i="5"/>
  <c r="T244" i="5"/>
  <c r="S244" i="5"/>
  <c r="R237" i="5"/>
  <c r="Q237" i="5"/>
  <c r="R236" i="5"/>
  <c r="R235" i="5"/>
  <c r="V235" i="5"/>
  <c r="V234" i="5"/>
  <c r="U235" i="5"/>
  <c r="U234" i="5"/>
  <c r="T235" i="5"/>
  <c r="T234" i="5"/>
  <c r="S235" i="5"/>
  <c r="S234" i="5"/>
  <c r="S205" i="5"/>
  <c r="S204" i="5"/>
  <c r="S203" i="5"/>
  <c r="R233" i="5"/>
  <c r="Q233" i="5"/>
  <c r="R232" i="5"/>
  <c r="Q232" i="5"/>
  <c r="R231" i="5"/>
  <c r="Q231" i="5"/>
  <c r="R230" i="5"/>
  <c r="Q230" i="5"/>
  <c r="R229" i="5"/>
  <c r="Q229" i="5"/>
  <c r="R228" i="5"/>
  <c r="Q228" i="5"/>
  <c r="R223" i="5"/>
  <c r="Q223" i="5"/>
  <c r="R222" i="5"/>
  <c r="Q222" i="5"/>
  <c r="R214" i="5"/>
  <c r="Q214" i="5"/>
  <c r="R213" i="5"/>
  <c r="Q213" i="5"/>
  <c r="R212" i="5"/>
  <c r="Q212" i="5"/>
  <c r="R211" i="5"/>
  <c r="Q211" i="5"/>
  <c r="R210" i="5"/>
  <c r="Q210" i="5"/>
  <c r="R209" i="5"/>
  <c r="Q209" i="5"/>
  <c r="R208" i="5"/>
  <c r="R207" i="5"/>
  <c r="V207" i="5"/>
  <c r="V206" i="5"/>
  <c r="U207" i="5"/>
  <c r="U206" i="5"/>
  <c r="T207" i="5"/>
  <c r="T206" i="5"/>
  <c r="T205" i="5"/>
  <c r="T204" i="5"/>
  <c r="T203" i="5"/>
  <c r="S207" i="5"/>
  <c r="S206" i="5"/>
  <c r="R202" i="5"/>
  <c r="Q202" i="5"/>
  <c r="R201" i="5"/>
  <c r="Q201" i="5"/>
  <c r="R197" i="5"/>
  <c r="Q197" i="5"/>
  <c r="R179" i="5"/>
  <c r="Q179" i="5"/>
  <c r="R176" i="5"/>
  <c r="Q176" i="5"/>
  <c r="R175" i="5"/>
  <c r="Q175" i="5"/>
  <c r="O175" i="5"/>
  <c r="N175" i="5"/>
  <c r="M175" i="5"/>
  <c r="L175" i="5"/>
  <c r="O174" i="5"/>
  <c r="N174" i="5"/>
  <c r="M174" i="5"/>
  <c r="L174" i="5"/>
  <c r="R172" i="5"/>
  <c r="Q172" i="5"/>
  <c r="R171" i="5"/>
  <c r="Q171" i="5"/>
  <c r="R170" i="5"/>
  <c r="Q170" i="5"/>
  <c r="R169" i="5"/>
  <c r="Q169" i="5"/>
  <c r="R166" i="5"/>
  <c r="Q166" i="5"/>
  <c r="R165" i="5"/>
  <c r="Q165" i="5"/>
  <c r="R159" i="5"/>
  <c r="Q159" i="5"/>
  <c r="R158" i="5"/>
  <c r="R157" i="5"/>
  <c r="V157" i="5"/>
  <c r="V151" i="5"/>
  <c r="U157" i="5"/>
  <c r="U151" i="5"/>
  <c r="T157" i="5"/>
  <c r="T151" i="5"/>
  <c r="S157" i="5"/>
  <c r="S151" i="5"/>
  <c r="V155" i="5"/>
  <c r="V150" i="5"/>
  <c r="V149" i="5"/>
  <c r="V148" i="5"/>
  <c r="U155" i="5"/>
  <c r="U150" i="5"/>
  <c r="T155" i="5"/>
  <c r="T150" i="5"/>
  <c r="T149" i="5"/>
  <c r="T148" i="5"/>
  <c r="S155" i="5"/>
  <c r="S150" i="5"/>
  <c r="S149" i="5"/>
  <c r="S148" i="5"/>
  <c r="R147" i="5"/>
  <c r="R146" i="5"/>
  <c r="Q146" i="5"/>
  <c r="V146" i="5"/>
  <c r="U146" i="5"/>
  <c r="T146" i="5"/>
  <c r="T138" i="5"/>
  <c r="T137" i="5"/>
  <c r="S146" i="5"/>
  <c r="R145" i="5"/>
  <c r="R144" i="5"/>
  <c r="Q144" i="5"/>
  <c r="V144" i="5"/>
  <c r="U144" i="5"/>
  <c r="T144" i="5"/>
  <c r="S144" i="5"/>
  <c r="R143" i="5"/>
  <c r="Q143" i="5"/>
  <c r="R142" i="5"/>
  <c r="R141" i="5"/>
  <c r="Q141" i="5"/>
  <c r="Q142" i="5"/>
  <c r="V141" i="5"/>
  <c r="V139" i="5"/>
  <c r="U141" i="5"/>
  <c r="U139" i="5"/>
  <c r="U138" i="5"/>
  <c r="U137" i="5"/>
  <c r="T141" i="5"/>
  <c r="T139" i="5"/>
  <c r="S141" i="5"/>
  <c r="S139" i="5"/>
  <c r="R140" i="5"/>
  <c r="R139" i="5"/>
  <c r="Q140" i="5"/>
  <c r="R136" i="5"/>
  <c r="Q136" i="5"/>
  <c r="R135" i="5"/>
  <c r="Q135" i="5"/>
  <c r="R134" i="5"/>
  <c r="Q134" i="5"/>
  <c r="R133" i="5"/>
  <c r="Q133" i="5"/>
  <c r="R132" i="5"/>
  <c r="Q132" i="5"/>
  <c r="R131" i="5"/>
  <c r="Q131" i="5"/>
  <c r="R130" i="5"/>
  <c r="Q130" i="5"/>
  <c r="R128" i="5"/>
  <c r="Q128" i="5"/>
  <c r="R127" i="5"/>
  <c r="Q127" i="5"/>
  <c r="R125" i="5"/>
  <c r="Q125" i="5"/>
  <c r="R124" i="5"/>
  <c r="Q124" i="5"/>
  <c r="R123" i="5"/>
  <c r="Q123" i="5"/>
  <c r="R122" i="5"/>
  <c r="Q122" i="5"/>
  <c r="V121" i="5"/>
  <c r="U121" i="5"/>
  <c r="T121" i="5"/>
  <c r="T109" i="5"/>
  <c r="T108" i="5"/>
  <c r="S121" i="5"/>
  <c r="R120" i="5"/>
  <c r="Q120" i="5"/>
  <c r="R118" i="5"/>
  <c r="Q118" i="5"/>
  <c r="R117" i="5"/>
  <c r="Q117" i="5"/>
  <c r="L116" i="5"/>
  <c r="M116" i="5"/>
  <c r="N116" i="5"/>
  <c r="O116" i="5"/>
  <c r="R115" i="5"/>
  <c r="Q115" i="5"/>
  <c r="R114" i="5"/>
  <c r="Q114" i="5"/>
  <c r="R112" i="5"/>
  <c r="R110" i="5"/>
  <c r="Q112" i="5"/>
  <c r="L112" i="5"/>
  <c r="M112" i="5"/>
  <c r="N112" i="5"/>
  <c r="O112" i="5"/>
  <c r="R111" i="5"/>
  <c r="Q111" i="5"/>
  <c r="L111" i="5"/>
  <c r="M111" i="5"/>
  <c r="N111" i="5"/>
  <c r="O111" i="5"/>
  <c r="V110" i="5"/>
  <c r="V109" i="5"/>
  <c r="V108" i="5"/>
  <c r="U110" i="5"/>
  <c r="U109" i="5"/>
  <c r="U108" i="5"/>
  <c r="T110" i="5"/>
  <c r="S110" i="5"/>
  <c r="L110" i="5"/>
  <c r="M110" i="5"/>
  <c r="N110" i="5"/>
  <c r="O110" i="5"/>
  <c r="R107" i="5"/>
  <c r="R106" i="5"/>
  <c r="R105" i="5"/>
  <c r="V105" i="5"/>
  <c r="V98" i="5"/>
  <c r="V97" i="5"/>
  <c r="V96" i="5"/>
  <c r="V95" i="5"/>
  <c r="U105" i="5"/>
  <c r="U98" i="5"/>
  <c r="U97" i="5"/>
  <c r="U96" i="5"/>
  <c r="T105" i="5"/>
  <c r="T98" i="5"/>
  <c r="T97" i="5"/>
  <c r="T96" i="5"/>
  <c r="T95" i="5"/>
  <c r="S105" i="5"/>
  <c r="S98" i="5"/>
  <c r="S97" i="5"/>
  <c r="S96" i="5"/>
  <c r="R103" i="5"/>
  <c r="R94" i="5"/>
  <c r="R93" i="5"/>
  <c r="R88" i="5"/>
  <c r="R92" i="5"/>
  <c r="O92" i="5"/>
  <c r="N92" i="5"/>
  <c r="M92" i="5"/>
  <c r="R91" i="5"/>
  <c r="R90" i="5"/>
  <c r="R89" i="5"/>
  <c r="V88" i="5"/>
  <c r="U88" i="5"/>
  <c r="T88" i="5"/>
  <c r="S88" i="5"/>
  <c r="O86" i="5"/>
  <c r="N86" i="5"/>
  <c r="M86" i="5"/>
  <c r="O85" i="5"/>
  <c r="N85" i="5"/>
  <c r="M85" i="5"/>
  <c r="L85" i="5"/>
  <c r="R84" i="5"/>
  <c r="P84" i="5"/>
  <c r="O84" i="5"/>
  <c r="N84" i="5"/>
  <c r="M84" i="5"/>
  <c r="L84" i="5"/>
  <c r="R83" i="5"/>
  <c r="V82" i="5"/>
  <c r="U82" i="5"/>
  <c r="T82" i="5"/>
  <c r="S82" i="5"/>
  <c r="R82" i="5"/>
  <c r="V80" i="5"/>
  <c r="V76" i="5"/>
  <c r="V75" i="5"/>
  <c r="V74" i="5"/>
  <c r="U80" i="5"/>
  <c r="U76" i="5"/>
  <c r="U75" i="5"/>
  <c r="U74" i="5"/>
  <c r="T80" i="5"/>
  <c r="T76" i="5"/>
  <c r="T75" i="5"/>
  <c r="T74" i="5"/>
  <c r="S80" i="5"/>
  <c r="S76" i="5"/>
  <c r="S75" i="5"/>
  <c r="S74" i="5"/>
  <c r="R79" i="5"/>
  <c r="R78" i="5"/>
  <c r="R77" i="5"/>
  <c r="M76" i="5"/>
  <c r="L76" i="5"/>
  <c r="R73" i="5"/>
  <c r="R71" i="5"/>
  <c r="R72" i="5"/>
  <c r="P72" i="5"/>
  <c r="O72" i="5"/>
  <c r="N72" i="5"/>
  <c r="M72" i="5"/>
  <c r="L72" i="5"/>
  <c r="V71" i="5"/>
  <c r="V70" i="5"/>
  <c r="U71" i="5"/>
  <c r="U70" i="5"/>
  <c r="T71" i="5"/>
  <c r="T70" i="5"/>
  <c r="S71" i="5"/>
  <c r="S70" i="5"/>
  <c r="P69" i="5"/>
  <c r="O69" i="5"/>
  <c r="N69" i="5"/>
  <c r="M69" i="5"/>
  <c r="L69" i="5"/>
  <c r="R64" i="5"/>
  <c r="O64" i="5"/>
  <c r="N64" i="5"/>
  <c r="M64" i="5"/>
  <c r="L64" i="5"/>
  <c r="V63" i="5"/>
  <c r="V62" i="5"/>
  <c r="U63" i="5"/>
  <c r="U62" i="5"/>
  <c r="T63" i="5"/>
  <c r="T62" i="5"/>
  <c r="S63" i="5"/>
  <c r="S62" i="5"/>
  <c r="R63" i="5"/>
  <c r="R62" i="5"/>
  <c r="N61" i="5"/>
  <c r="R58" i="5"/>
  <c r="O58" i="5"/>
  <c r="N58" i="5"/>
  <c r="M58" i="5"/>
  <c r="L58" i="5"/>
  <c r="N57" i="5"/>
  <c r="M57" i="5"/>
  <c r="V56" i="5"/>
  <c r="U56" i="5"/>
  <c r="T56" i="5"/>
  <c r="S56" i="5"/>
  <c r="R56" i="5"/>
  <c r="R54" i="5"/>
  <c r="R53" i="5"/>
  <c r="V52" i="5"/>
  <c r="U52" i="5"/>
  <c r="T52" i="5"/>
  <c r="T48" i="5"/>
  <c r="S52" i="5"/>
  <c r="S48" i="5"/>
  <c r="R52" i="5"/>
  <c r="R48" i="5"/>
  <c r="R51" i="5"/>
  <c r="R50" i="5"/>
  <c r="V49" i="5"/>
  <c r="V48" i="5"/>
  <c r="V47" i="5"/>
  <c r="U49" i="5"/>
  <c r="U48" i="5"/>
  <c r="U47" i="5"/>
  <c r="T49" i="5"/>
  <c r="S49" i="5"/>
  <c r="R49" i="5"/>
  <c r="R45" i="5"/>
  <c r="P45" i="5"/>
  <c r="O45" i="5"/>
  <c r="N45" i="5"/>
  <c r="M45" i="5"/>
  <c r="V44" i="5"/>
  <c r="U44" i="5"/>
  <c r="T44" i="5"/>
  <c r="S44" i="5"/>
  <c r="R44" i="5"/>
  <c r="R43" i="5"/>
  <c r="R42" i="5"/>
  <c r="R40" i="5"/>
  <c r="V39" i="5"/>
  <c r="U39" i="5"/>
  <c r="T39" i="5"/>
  <c r="S39" i="5"/>
  <c r="R39" i="5"/>
  <c r="R37" i="5"/>
  <c r="O37" i="5"/>
  <c r="N37" i="5"/>
  <c r="M37" i="5"/>
  <c r="L37" i="5"/>
  <c r="R36" i="5"/>
  <c r="V35" i="5"/>
  <c r="V34" i="5"/>
  <c r="V31" i="5"/>
  <c r="U35" i="5"/>
  <c r="U34" i="5"/>
  <c r="U31" i="5"/>
  <c r="T35" i="5"/>
  <c r="T34" i="5"/>
  <c r="T31" i="5"/>
  <c r="S35" i="5"/>
  <c r="S34" i="5"/>
  <c r="S31" i="5"/>
  <c r="R35" i="5"/>
  <c r="R34" i="5"/>
  <c r="R31" i="5"/>
  <c r="Q31" i="5"/>
  <c r="P33" i="5"/>
  <c r="O33" i="5"/>
  <c r="L33" i="5"/>
  <c r="R32" i="5"/>
  <c r="V30" i="5"/>
  <c r="U30" i="5"/>
  <c r="T30" i="5"/>
  <c r="S30" i="5"/>
  <c r="R30" i="5"/>
  <c r="R29" i="5"/>
  <c r="R28" i="5"/>
  <c r="R27" i="5"/>
  <c r="V26" i="5"/>
  <c r="U26" i="5"/>
  <c r="T26" i="5"/>
  <c r="S26" i="5"/>
  <c r="R26" i="5"/>
  <c r="R25" i="5"/>
  <c r="O25" i="5"/>
  <c r="N25" i="5"/>
  <c r="M25" i="5"/>
  <c r="L25" i="5"/>
  <c r="R24" i="5"/>
  <c r="R23" i="5"/>
  <c r="R22" i="5"/>
  <c r="V21" i="5"/>
  <c r="U21" i="5"/>
  <c r="T21" i="5"/>
  <c r="S21" i="5"/>
  <c r="R21" i="5"/>
  <c r="R20" i="5"/>
  <c r="V19" i="5"/>
  <c r="U19" i="5"/>
  <c r="T19" i="5"/>
  <c r="S19" i="5"/>
  <c r="R19" i="5"/>
  <c r="V18" i="5"/>
  <c r="V17" i="5"/>
  <c r="U18" i="5"/>
  <c r="U17" i="5"/>
  <c r="T18" i="5"/>
  <c r="T17" i="5"/>
  <c r="S18" i="5"/>
  <c r="S17" i="5"/>
  <c r="R18" i="5"/>
  <c r="R17" i="5"/>
  <c r="R16" i="5"/>
  <c r="R15" i="5"/>
  <c r="R14" i="5"/>
  <c r="V13" i="5"/>
  <c r="V12" i="5"/>
  <c r="U13" i="5"/>
  <c r="U12" i="5"/>
  <c r="T13" i="5"/>
  <c r="T12" i="5"/>
  <c r="S13" i="5"/>
  <c r="S12" i="5"/>
  <c r="R11" i="5"/>
  <c r="R10" i="5"/>
  <c r="R9" i="5"/>
  <c r="P11" i="5"/>
  <c r="V10" i="5"/>
  <c r="V9" i="5"/>
  <c r="U10" i="5"/>
  <c r="U9" i="5"/>
  <c r="T10" i="5"/>
  <c r="T9" i="5"/>
  <c r="S10" i="5"/>
  <c r="S9" i="5"/>
  <c r="P10" i="5"/>
  <c r="O10" i="5"/>
  <c r="N10" i="5"/>
  <c r="M10" i="5"/>
  <c r="L10" i="5"/>
  <c r="K10" i="5"/>
  <c r="V8" i="5"/>
  <c r="V7" i="5"/>
  <c r="V6" i="5"/>
  <c r="U8" i="5"/>
  <c r="U7" i="5"/>
  <c r="T8" i="5"/>
  <c r="T7" i="5"/>
  <c r="T5" i="5"/>
  <c r="T4" i="5"/>
  <c r="T2" i="5"/>
  <c r="S8" i="5"/>
  <c r="S7" i="5"/>
  <c r="S5" i="5"/>
  <c r="S4" i="5"/>
  <c r="S2" i="5"/>
  <c r="S6" i="5"/>
  <c r="R8" i="5"/>
  <c r="R7" i="5"/>
  <c r="N8" i="5"/>
  <c r="P6" i="5"/>
  <c r="O6" i="5"/>
  <c r="N6" i="5"/>
  <c r="M6" i="5"/>
  <c r="L6" i="5"/>
  <c r="K6" i="5"/>
  <c r="S109" i="5"/>
  <c r="S108" i="5"/>
  <c r="Q147" i="5"/>
  <c r="R70" i="5"/>
  <c r="R98" i="5"/>
  <c r="R97" i="5"/>
  <c r="R96" i="5"/>
  <c r="S138" i="5"/>
  <c r="S137" i="5"/>
  <c r="R13" i="5"/>
  <c r="R12" i="5"/>
  <c r="U149" i="5"/>
  <c r="U148" i="5"/>
  <c r="V138" i="5"/>
  <c r="V137" i="5"/>
  <c r="V5" i="5"/>
  <c r="R155" i="5"/>
  <c r="Q155" i="5"/>
  <c r="Q248" i="5"/>
  <c r="Q236" i="5"/>
  <c r="R151" i="5"/>
  <c r="Q151" i="5"/>
  <c r="Q157" i="5"/>
  <c r="R234" i="5"/>
  <c r="Q234" i="5"/>
  <c r="Q235" i="5"/>
  <c r="Q158" i="5"/>
  <c r="Q145" i="5"/>
  <c r="R244" i="5"/>
  <c r="Q244" i="5"/>
  <c r="Q113" i="5"/>
  <c r="Q251" i="5"/>
  <c r="R150" i="5"/>
  <c r="Q150" i="5"/>
  <c r="T199" i="5"/>
  <c r="T200" i="5"/>
  <c r="T198" i="5"/>
  <c r="T191" i="5"/>
  <c r="Q110" i="5"/>
  <c r="U95" i="5"/>
  <c r="S200" i="5"/>
  <c r="S198" i="5"/>
  <c r="S191" i="5"/>
  <c r="S199" i="5"/>
  <c r="R5" i="5"/>
  <c r="R4" i="5"/>
  <c r="R2" i="5"/>
  <c r="R6" i="5"/>
  <c r="S95" i="5"/>
  <c r="S47" i="5"/>
  <c r="T47" i="5"/>
  <c r="R206" i="5"/>
  <c r="Q207" i="5"/>
  <c r="V4" i="5"/>
  <c r="V2" i="5"/>
  <c r="U6" i="5"/>
  <c r="U5" i="5"/>
  <c r="U4" i="5"/>
  <c r="U2" i="5"/>
  <c r="R138" i="5"/>
  <c r="Q139" i="5"/>
  <c r="R76" i="5"/>
  <c r="R75" i="5"/>
  <c r="R74" i="5"/>
  <c r="R47" i="5"/>
  <c r="U205" i="5"/>
  <c r="U204" i="5"/>
  <c r="U203" i="5"/>
  <c r="V205" i="5"/>
  <c r="V204" i="5"/>
  <c r="V203" i="5"/>
  <c r="I74" i="6"/>
  <c r="Q208" i="5"/>
  <c r="T6" i="5"/>
  <c r="R80" i="5"/>
  <c r="R121" i="5"/>
  <c r="Q121" i="5"/>
  <c r="R149" i="5"/>
  <c r="V200" i="5"/>
  <c r="V198" i="5"/>
  <c r="V191" i="5"/>
  <c r="V199" i="5"/>
  <c r="U199" i="5"/>
  <c r="U200" i="5"/>
  <c r="U198" i="5"/>
  <c r="U191" i="5"/>
  <c r="R137" i="5"/>
  <c r="Q137" i="5"/>
  <c r="Q138" i="5"/>
  <c r="Q149" i="5"/>
  <c r="R148" i="5"/>
  <c r="Q148" i="5"/>
  <c r="S186" i="5"/>
  <c r="S185" i="5"/>
  <c r="S184" i="5"/>
  <c r="S181" i="5"/>
  <c r="S180" i="5"/>
  <c r="R109" i="5"/>
  <c r="T184" i="5"/>
  <c r="T181" i="5"/>
  <c r="T180" i="5"/>
  <c r="T186" i="5"/>
  <c r="T185" i="5"/>
  <c r="R205" i="5"/>
  <c r="Q206" i="5"/>
  <c r="Q109" i="5"/>
  <c r="R108" i="5"/>
  <c r="U186" i="5"/>
  <c r="U185" i="5"/>
  <c r="U184" i="5"/>
  <c r="U181" i="5"/>
  <c r="U180" i="5"/>
  <c r="R204" i="5"/>
  <c r="Q205" i="5"/>
  <c r="V184" i="5"/>
  <c r="V181" i="5"/>
  <c r="V180" i="5"/>
  <c r="V186" i="5"/>
  <c r="V185" i="5"/>
  <c r="R203" i="5"/>
  <c r="Q204" i="5"/>
  <c r="Q108" i="5"/>
  <c r="R95" i="5"/>
  <c r="R200" i="5"/>
  <c r="Q203" i="5"/>
  <c r="R199" i="5"/>
  <c r="Q199" i="5"/>
  <c r="Q200" i="5"/>
  <c r="R198" i="5"/>
  <c r="Q198" i="5"/>
  <c r="R191" i="5"/>
  <c r="Q191" i="5"/>
  <c r="R184" i="5"/>
  <c r="R186" i="5"/>
  <c r="R185" i="5"/>
  <c r="Q185" i="5"/>
  <c r="Q186" i="5"/>
  <c r="Q184" i="5"/>
  <c r="R181" i="5"/>
  <c r="R180" i="5"/>
  <c r="Q180" i="5"/>
  <c r="Q181" i="5"/>
  <c r="Q160" i="5"/>
  <c r="R160" i="5"/>
  <c r="T160" i="5"/>
  <c r="T178" i="5"/>
  <c r="T174" i="5"/>
  <c r="T173" i="5"/>
  <c r="T168" i="5"/>
  <c r="T167" i="5"/>
  <c r="T163" i="5"/>
  <c r="T162" i="5"/>
  <c r="T161" i="5"/>
  <c r="Q162" i="5"/>
  <c r="Q173" i="5"/>
  <c r="Q167" i="5"/>
  <c r="Q163" i="5"/>
  <c r="U178" i="5"/>
  <c r="U174" i="5"/>
  <c r="U173" i="5"/>
  <c r="U168" i="5"/>
  <c r="U167" i="5"/>
  <c r="U163" i="5"/>
  <c r="U162" i="5"/>
  <c r="U161" i="5"/>
  <c r="U160" i="5"/>
  <c r="Q168" i="5"/>
  <c r="R173" i="5"/>
  <c r="R168" i="5"/>
  <c r="R167" i="5"/>
  <c r="R163" i="5"/>
  <c r="R162" i="5"/>
  <c r="R161" i="5"/>
  <c r="Q161" i="5"/>
  <c r="R174" i="5"/>
  <c r="Q174" i="5"/>
  <c r="V178" i="5"/>
  <c r="V174" i="5"/>
  <c r="V173" i="5"/>
  <c r="V168" i="5"/>
  <c r="V167" i="5"/>
  <c r="V163" i="5"/>
  <c r="V162" i="5"/>
  <c r="V161" i="5"/>
  <c r="V160" i="5"/>
  <c r="R178" i="5"/>
  <c r="Q178" i="5"/>
  <c r="C51" i="6"/>
  <c r="C59" i="6"/>
  <c r="C66" i="6"/>
  <c r="C72" i="6"/>
  <c r="C18" i="6"/>
  <c r="C25" i="6"/>
  <c r="C35" i="6"/>
  <c r="C41" i="6"/>
  <c r="S178" i="5"/>
  <c r="S174" i="5"/>
  <c r="S173" i="5"/>
  <c r="S168" i="5"/>
  <c r="S167" i="5"/>
  <c r="S163" i="5"/>
  <c r="S162" i="5"/>
  <c r="S161" i="5"/>
  <c r="S16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tc={A03DD397-C6B6-4BD2-885B-BF3608872F70}</author>
    <author>tc={AA8AF84C-C059-44DD-99D2-BB121D757F1D}</author>
    <author>tc={BA5AC693-7821-466B-B3C3-55D675CDA5C7}</author>
    <author>tc={2CB2ECEA-27DC-4CC1-9B58-8132C1927458}</author>
    <author>tc={60D0E9CC-1B50-4355-8362-F06614912F87}</author>
    <author>tc={76113246-0973-48E4-9B07-4D7A65C12EF8}</author>
    <author>tc={D9ACB6AA-29DB-4881-8B3B-949C7944C71C}</author>
    <author>tc={DA52A52F-F4B8-4A4A-A042-B8E419084CB4}</author>
    <author>tc={1AD76B70-D13A-4F08-B2CB-15A64734C332}</author>
    <author>tc={11A86CC8-4293-4605-95A7-DE327D1C5072}</author>
    <author>tc={AA83CB6E-B3C5-4A20-AD77-B098A65F06A2}</author>
    <author>tc={AB02E229-9954-4509-8FE0-7CCE883B37E6}</author>
    <author>tc={8EBE727A-4ADA-47A3-9E3D-6744726C5E1B}</author>
    <author>tc={C794302E-E4F5-4129-A2E8-64867C612B62}</author>
    <author>tc={068BBDC7-08E6-43E2-A230-FFFF0C268405}</author>
    <author>tc={79E7944D-9DB1-420D-AEAF-6BB3D39EF1E8}</author>
    <author>tc={34E612F9-ECB9-4481-9999-0355591C73C6}</author>
    <author>tc={25A743C9-7A91-4DBA-AD65-1926ACC751DD}</author>
    <author>tc={6BFE2A03-45CF-41AF-A070-2688F490A0C8}</author>
    <author>tc={568B79B8-3D6E-49E0-B1D8-64B36618A34F}</author>
    <author>tc={A0D6F65B-0971-4D7B-949D-3C613FA0DEF5}</author>
    <author>tc={0D9DA45F-498D-464A-B55F-DDCB70DF167F}</author>
    <author>Microsoft Office User</author>
    <author>Daniel Aguirre Rios - Contratista IUE</author>
    <author>tc={663EC699-44D4-4A12-8D64-C0CFCCEBB358}</author>
    <author>tc={62861E3A-718B-473B-8984-AB47DB0D5FD5}</author>
    <author>tc={8EA18B2E-37B9-4A6E-9BB6-B3E497C825F7}</author>
    <author>tc={E71815BB-CCD3-4B16-A344-3953D6E86E01}</author>
    <author>tc={BB98CCF3-50EF-43F2-8134-B00CCD281AFD}</author>
    <author>tc={F0BDF401-ECF8-40C5-9725-04C2714A5158}</author>
    <author>tc={3F11AC08-5295-47ED-88D6-B7C60C666DCC}</author>
    <author>tc={4E186C6C-85E8-4355-8B5D-3BD57AFAE6B2}</author>
    <author>tc={72FA34E3-DFA1-4C67-A0F9-AED163E3F588}</author>
    <author>tc={50A255ED-BE4A-42D8-9D2A-DAF1176CBE21}</author>
    <author>tc={85FAA4D7-DF0E-4D8F-86B3-3B4AB59E21B2}</author>
    <author>tc={C27D14D1-0C79-4616-888E-7E106A4F8D35}</author>
    <author>tc={8CAA2CB9-75FD-4E62-8F17-81FA7BFEE0AD}</author>
    <author>tc={46BC03D0-FD26-4B84-BB7C-1E47D664E344}</author>
    <author>tc={D6BD068D-45FC-459F-AC85-A50EB7ADED98}</author>
    <author>tc={A98B7D13-448D-4E07-8027-5B39DD6C591E}</author>
    <author>tc={D9B99A3B-264B-4C8B-AFAB-7CE81BB7701D}</author>
  </authors>
  <commentList>
    <comment ref="J14" authorId="0" shapeId="0" xr:uid="{A03DD397-C6B6-4BD2-885B-BF3608872F7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Docencia definió una meta de 700 estudiantes por año, se sugiere mejor expresar las metas en %: 10%</t>
      </text>
    </comment>
    <comment ref="J15" authorId="1" shapeId="0" xr:uid="{AA8AF84C-C059-44DD-99D2-BB121D757F1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S14, FUENTE SPADIES</t>
      </text>
    </comment>
    <comment ref="J18" authorId="2" shapeId="0" xr:uid="{BA5AC693-7821-466B-B3C3-55D675CDA5C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Carrera</t>
      </text>
    </comment>
    <comment ref="J24" authorId="3" shapeId="0" xr:uid="{2CB2ECEA-27DC-4CC1-9B58-8132C192745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1. Consultorio Matemático
2. Laboratorio LEO
3. Escuela de Idiomas
4. Capacitaciones estudiantes
5. Capacitaciones docentes
6. Simulacros
7. Seminarios de competencias especificas
8. Reforma curricular</t>
      </text>
    </comment>
    <comment ref="J27" authorId="4" shapeId="0" xr:uid="{60D0E9CC-1B50-4355-8362-F06614912F8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CEPED, Ruta de RA, PIC</t>
      </text>
    </comment>
    <comment ref="J35" authorId="5" shapeId="0" xr:uid="{76113246-0973-48E4-9B07-4D7A65C12EF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CHIGORODÓ</t>
      </text>
    </comment>
    <comment ref="J49" authorId="6" shapeId="0" xr:uid="{D9ACB6AA-29DB-4881-8B3B-949C7944C71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1. Estrategia nivelación de competencias académicas (matemáticas, lectura critica y orientación vocacional).
2. Avance de asignaturas transversales (silla vacía)</t>
      </text>
    </comment>
    <comment ref="M49" authorId="7" shapeId="0" xr:uid="{DA52A52F-F4B8-4A4A-A042-B8E419084CB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3. CEFIT</t>
      </text>
    </comment>
    <comment ref="J68" authorId="8" shapeId="0" xr:uid="{1AD76B70-D13A-4F08-B2CB-15A64734C33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Hoy hay 73 investigadores, de ellos  43 fueron reconocidos por MINCIENCIAS (convocatoria 2024) y corresponden al 59%</t>
      </text>
    </comment>
    <comment ref="K68" authorId="9" shapeId="0" xr:uid="{11A86CC8-4293-4605-95A7-DE327D1C507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Hoy hay 73 investigadores, de ellos  43 fueron reconocidos por MINCIENCIAS (convocatoria 2024) y corresponden al 59%</t>
      </text>
    </comment>
    <comment ref="L68" authorId="10" shapeId="0" xr:uid="{AA83CB6E-B3C5-4A20-AD77-B098A65F06A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Hoy hay 73 investigadores, de ellos  43 fueron reconocidos por MINCIENCIAS (convocatoria 2024) y corresponden al 59%</t>
      </text>
    </comment>
    <comment ref="M68" authorId="11" shapeId="0" xr:uid="{AB02E229-9954-4509-8FE0-7CCE883B37E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Hoy hay 73 investigadores, de ellos  43 fueron reconocidos por MINCIENCIAS (convocatoria 2024) y corresponden al 59%</t>
      </text>
    </comment>
    <comment ref="N68" authorId="12" shapeId="0" xr:uid="{8EBE727A-4ADA-47A3-9E3D-6744726C5E1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52 investigadores que se proyecta que sean reconocidos por MINCIENCIAS de 73 que corresponden al 71%</t>
      </text>
    </comment>
    <comment ref="O68" authorId="13" shapeId="0" xr:uid="{C794302E-E4F5-4129-A2E8-64867C612B6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52 investigadores que se proyecta que sean reconocidos por MINCIENCIAS de 73 que corresponden al 71%</t>
      </text>
    </comment>
    <comment ref="P68" authorId="14" shapeId="0" xr:uid="{068BBDC7-08E6-43E2-A230-FFFF0C26840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52 investigadores que se proyecta que sean reconocidos por MINCIENCIAS de 73 que corresponden al 71%</t>
      </text>
    </comment>
    <comment ref="J69" authorId="15" shapeId="0" xr:uid="{79E7944D-9DB1-420D-AEAF-6BB3D39EF1E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Hoy hay 73 investigadores, de ellos  53 tienen índice H y corresponden al 73%</t>
      </text>
    </comment>
    <comment ref="K69" authorId="16" shapeId="0" xr:uid="{34E612F9-ECB9-4481-9999-0355591C73C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Hoy hay 73 investigadores, de ellos  53 tienen índice H y corresponden al 73%</t>
      </text>
    </comment>
    <comment ref="L69" authorId="17" shapeId="0" xr:uid="{25A743C9-7A91-4DBA-AD65-1926ACC751D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55 investigadores con IH</t>
      </text>
    </comment>
    <comment ref="M69" authorId="18" shapeId="0" xr:uid="{6BFE2A03-45CF-41AF-A070-2688F490A0C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56 investigadores con IH</t>
      </text>
    </comment>
    <comment ref="N69" authorId="19" shapeId="0" xr:uid="{568B79B8-3D6E-49E0-B1D8-64B36618A34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58 investigadores con IH</t>
      </text>
    </comment>
    <comment ref="O69" authorId="20" shapeId="0" xr:uid="{A0D6F65B-0971-4D7B-949D-3C613FA0DEF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58 investigadores con IH</t>
      </text>
    </comment>
    <comment ref="P69" authorId="21" shapeId="0" xr:uid="{0D9DA45F-498D-464A-B55F-DDCB70DF167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58 investigadores con IH</t>
      </text>
    </comment>
    <comment ref="F119" authorId="22" shapeId="0" xr:uid="{75683C04-A711-1F43-805E-87899D6EFFC4}">
      <text>
        <r>
          <rPr>
            <b/>
            <sz val="10"/>
            <color rgb="FF000000"/>
            <rFont val="Tahoma"/>
            <family val="2"/>
          </rPr>
          <t>¿Por qué definieron metas tan bajitas? Hay una gran diferencia respecto a la línea base de 2024</t>
        </r>
      </text>
    </comment>
    <comment ref="J168" authorId="23" shapeId="0" xr:uid="{BFF3DE63-05A5-4437-AF9D-5989506DB293}">
      <text>
        <r>
          <rPr>
            <sz val="11"/>
            <color theme="1"/>
            <rFont val="Aptos Narrow"/>
            <family val="2"/>
            <scheme val="minor"/>
          </rPr>
          <t>Daniel Aguirre Rios - Contratista IUE:
Este indicador se mide sumando el total de beneficiados en politica de gratuidad + cobertura insitucional IUE, sobre el total de estudiantes del último semestre</t>
        </r>
      </text>
    </comment>
    <comment ref="J196" authorId="24" shapeId="0" xr:uid="{663EC699-44D4-4A12-8D64-C0CFCCEBB35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- 13 laboratorios
- 9 espacios de práctica y consultorios (2 Gesell, conciliación y audiencias + 5 consultorios)
- 64 aulas
- 14 salas de cómputo
- 1 Biblioteca
- 6 espacios culturales, deportivos y descanso 
- 2 auditorios
- 1 teatro auditorio
- 1 Coworking
TOTAL: 111 ESPACIOS</t>
      </text>
    </comment>
    <comment ref="K196" authorId="25" shapeId="0" xr:uid="{62861E3A-718B-473B-8984-AB47DB0D5FD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Sala de descanso B8
CPA</t>
      </text>
    </comment>
    <comment ref="L196" authorId="26" shapeId="0" xr:uid="{8EA18B2E-37B9-4A6E-9BB6-B3E497C825F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Espacios híbridos: 8 aulas de posgrado</t>
      </text>
    </comment>
    <comment ref="M196" authorId="27" shapeId="0" xr:uid="{E71815BB-CCD3-4B16-A344-3953D6E86E0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Bloque 14:
32 aulas
1 Biblioteca y hemerotica
1 coworking
10 salas especializadas y laboratorios</t>
      </text>
    </comment>
    <comment ref="K197" authorId="28" shapeId="0" xr:uid="{BB98CCF3-50EF-43F2-8134-B00CCD281AF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Archivo: 450 m2
Sala de descanso B8: 116 m2
CPA: 160 m2</t>
      </text>
    </comment>
    <comment ref="L197" authorId="29" shapeId="0" xr:uid="{F0BDF401-ECF8-40C5-9725-04C2714A515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Espacios híbridos: 400 m2
Plazoleta central: 330 m2
Boulevar: 380 m2</t>
      </text>
    </comment>
    <comment ref="M197" authorId="30" shapeId="0" xr:uid="{3F11AC08-5295-47ED-88D6-B7C60C666DC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Habilitación y dotación bloque 14: 8.400 m2
Cubierta Biblioteca: 400 m2</t>
      </text>
    </comment>
    <comment ref="N197" authorId="31" shapeId="0" xr:uid="{4E186C6C-85E8-4355-8B5D-3BD57AFAE6B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Habilitación y dotación Casa Egresados: 2.400 m2</t>
      </text>
    </comment>
    <comment ref="O197" authorId="32" shapeId="0" xr:uid="{72FA34E3-DFA1-4C67-A0F9-AED163E3F588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Dotación B11
</t>
      </text>
    </comment>
    <comment ref="L198" authorId="33" shapeId="0" xr:uid="{50A255ED-BE4A-42D8-9D2A-DAF1176CBE21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Construcción de la segunda etapa del bloque 14: 60% =5.040 m2
</t>
      </text>
    </comment>
    <comment ref="M198" authorId="34" shapeId="0" xr:uid="{85FAA4D7-DF0E-4D8F-86B3-3B4AB59E21B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Construcción de la segunda etapa del bloque 14: 40% =3.360 m2
Construcción de la Casa del Egresado: 40% = 960 m2</t>
      </text>
    </comment>
    <comment ref="N198" authorId="35" shapeId="0" xr:uid="{C27D14D1-0C79-4616-888E-7E106A4F8D3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Casa del Egresado: 60% = 1.440 m2</t>
      </text>
    </comment>
    <comment ref="O198" authorId="36" shapeId="0" xr:uid="{8CAA2CB9-75FD-4E62-8F17-81FA7BFEE0A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B11: 5.000 m2</t>
      </text>
    </comment>
    <comment ref="J201" authorId="37" shapeId="0" xr:uid="{46BC03D0-FD26-4B84-BB7C-1E47D664E34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Para 2024, el consumo total de agua fue de 30.449 m3 y una población de 7.000 personas, se haya un consumo 4,3 m3 por persona</t>
      </text>
    </comment>
    <comment ref="J202" authorId="38" shapeId="0" xr:uid="{D6BD068D-45FC-459F-AC85-A50EB7ADED9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Para 2024, el consumo total de energía fue de 574.571 Kw y una población de 7.000 personas, se haya un consumo  de 82,1 Kw por persona</t>
      </text>
    </comment>
    <comment ref="J214" authorId="39" shapeId="0" xr:uid="{A98B7D13-448D-4E07-8027-5B39DD6C591E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958 kg de RAEE
1.730 kg orgánicos
5.877 kg de reciclaje
1.873 kg de ordinarios
</t>
      </text>
    </comment>
    <comment ref="K215" authorId="40" shapeId="0" xr:uid="{D9B99A3B-264B-4C8B-AFAB-7CE81BB7701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20 de las 33 oficinas
Respuesta:
    15 oficinas de 33 para la vigencia 2025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tc={94B330A0-5A33-4528-8DB5-19F4290C2D02}</author>
    <author>tc={310AE373-FFEB-4EDA-B9E5-7E5CC1069368}</author>
    <author>tc={1286F354-DD43-4E6F-BF86-E4AF20FF27BF}</author>
    <author>tc={7D135291-AAFA-4809-8EEB-2E2B617800EB}</author>
    <author>tc={2F127FF2-A347-4DF9-94D1-F80947F56E46}</author>
    <author>tc={5E6D3ADC-9110-43B0-BAA2-F7AE25DB9BA8}</author>
    <author>tc={307AD5CC-7628-4196-A3ED-0A5855899266}</author>
    <author>tc={33F00C76-DE76-41E7-865C-B9E9262101A8}</author>
    <author>tc={44A6F288-D337-4592-8538-F9ADA2266E4B}</author>
    <author>tc={10081455-9B2D-44D0-90C8-DE61E303A975}</author>
    <author>tc={D6429CFA-CBE3-43DB-9DA0-09EF504289A4}</author>
    <author>tc={87BFCF59-6C00-4D4D-858D-57A23B772FC4}</author>
    <author>tc={DE0EC4A2-B4E4-435B-90F5-6BF74D31BB9E}</author>
    <author>tc={A4694C89-8A45-4049-9A44-B7C6449D5053}</author>
    <author>tc={F9D4D3C0-3479-482A-A070-B6F91C7AAEF9}</author>
    <author>tc={D9F5C6AC-53C7-4B12-9021-0997A772A642}</author>
    <author>tc={E630CF43-BBCD-4EF8-889C-7FAE7C5EF2A0}</author>
    <author>tc={9E132317-74B9-4B16-B53A-E8630FA47661}</author>
    <author>tc={E84B6FD5-2434-43E8-889A-6D4A681AACDF}</author>
    <author>tc={A2B99CCC-8362-497D-9E02-548CAE852FAD}</author>
    <author>tc={471BE39D-A846-4191-940D-61DE334340F0}</author>
    <author>tc={8BBBF6F3-D7F0-41B5-A7F9-93DCB28B0302}</author>
    <author>tc={5173390A-276D-44B6-B7DD-2F7DCA3B7F4B}</author>
    <author>tc={34EC4E22-371C-4C0F-BEA7-2D74BD4CF50F}</author>
    <author>tc={F3951E31-4998-4AC7-8825-A006FCB9F45D}</author>
    <author>tc={FA132217-51EE-4E5E-B15F-81FE80974A1B}</author>
    <author>tc={8FDD2585-5D7B-487A-9627-70A9C3751DE2}</author>
    <author>tc={315D323B-B78C-47BB-A763-4492703736E0}</author>
    <author>tc={6FE18BDB-A889-425A-90F2-CFC59488B35B}</author>
    <author>tc={1EE8E1F1-6FC5-49A9-8435-30AFAE586547}</author>
    <author>tc={FF0ED798-7B53-43BA-AA09-70EBC2A47BC8}</author>
  </authors>
  <commentList>
    <comment ref="J13" authorId="0" shapeId="0" xr:uid="{94B330A0-5A33-4528-8DB5-19F4290C2D0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1. Consultorio Matemático
2. Laboratorio LEO
3. Escuela de Idiomas
4. Capacitaciones estudiantes
5. Capacitaciones docentes
6. Simulacros
7. Seminarios de competencias especificas
8. Reforma curricular</t>
      </text>
    </comment>
    <comment ref="J27" authorId="1" shapeId="0" xr:uid="{310AE373-FFEB-4EDA-B9E5-7E5CC106936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CEPED, Ruta de RA, PIC</t>
      </text>
    </comment>
    <comment ref="J29" authorId="2" shapeId="0" xr:uid="{1286F354-DD43-4E6F-BF86-E4AF20FF27B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Carrera</t>
      </text>
    </comment>
    <comment ref="J38" authorId="3" shapeId="0" xr:uid="{7D135291-AAFA-4809-8EEB-2E2B617800E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CHIGORODÓ</t>
      </text>
    </comment>
    <comment ref="D57" authorId="4" shapeId="0" xr:uid="{2F127FF2-A347-4DF9-94D1-F80947F56E4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RESULTADO en el modelo</t>
      </text>
    </comment>
    <comment ref="I65" authorId="5" shapeId="0" xr:uid="{5E6D3ADC-9110-43B0-BAA2-F7AE25DB9BA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Acumulado en modelo</t>
      </text>
    </comment>
    <comment ref="I115" authorId="6" shapeId="0" xr:uid="{307AD5CC-7628-4196-A3ED-0A585589926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DOCUMENTO en el modelo</t>
      </text>
    </comment>
    <comment ref="I116" authorId="7" shapeId="0" xr:uid="{33F00C76-DE76-41E7-865C-B9E9262101A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ACUMULADO en el modelo</t>
      </text>
    </comment>
    <comment ref="I117" authorId="8" shapeId="0" xr:uid="{44A6F288-D337-4592-8538-F9ADA2266E4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ACUMULADO en el modelo</t>
      </text>
    </comment>
    <comment ref="F130" authorId="9" shapeId="0" xr:uid="{10081455-9B2D-44D0-90C8-DE61E303A97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¡Proyectaron todas las formas en la metas?</t>
      </text>
    </comment>
    <comment ref="I142" authorId="10" shapeId="0" xr:uid="{D6429CFA-CBE3-43DB-9DA0-09EF504289A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ACUMULADO en el modelo</t>
      </text>
    </comment>
    <comment ref="I143" authorId="11" shapeId="0" xr:uid="{87BFCF59-6C00-4D4D-858D-57A23B772FC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ACUMULADO en el modelo</t>
      </text>
    </comment>
    <comment ref="I147" authorId="12" shapeId="0" xr:uid="{DE0EC4A2-B4E4-435B-90F5-6BF74D31BB9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ACUMULADO en el modelo</t>
      </text>
    </comment>
    <comment ref="F150" authorId="13" shapeId="0" xr:uid="{A4694C89-8A45-4049-9A44-B7C6449D505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 el mismo indicadore, lo separaron</t>
      </text>
    </comment>
    <comment ref="I165" authorId="14" shapeId="0" xr:uid="{F9D4D3C0-3479-482A-A070-B6F91C7AAEF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ACUMULADO en el modelo</t>
      </text>
    </comment>
    <comment ref="F180" authorId="15" shapeId="0" xr:uid="{D9F5C6AC-53C7-4B12-9021-0997A772A64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En 2024 prestaron 5.998 servicios</t>
      </text>
    </comment>
    <comment ref="F183" authorId="16" shapeId="0" xr:uid="{E630CF43-BBCD-4EF8-889C-7FAE7C5EF2A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En 2024 atendieron 2.789 estudiantes</t>
      </text>
    </comment>
    <comment ref="F187" authorId="17" shapeId="0" xr:uid="{9E132317-74B9-4B16-B53A-E8630FA4766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Para 2024 prestaron 3.235 servicios</t>
      </text>
    </comment>
    <comment ref="F188" authorId="18" shapeId="0" xr:uid="{E84B6FD5-2434-43E8-889A-6D4A681AACD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Para 2024 atendieron 1.463 personas</t>
      </text>
    </comment>
    <comment ref="F189" authorId="19" shapeId="0" xr:uid="{A2B99CCC-8362-497D-9E02-548CAE852FA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Para 2024 prestaron 83.062 servicios</t>
      </text>
    </comment>
    <comment ref="F190" authorId="20" shapeId="0" xr:uid="{471BE39D-A846-4191-940D-61DE334340F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Para 2024 atendieron 4.069 personas</t>
      </text>
    </comment>
    <comment ref="F208" authorId="21" shapeId="0" xr:uid="{8BBBF6F3-D7F0-41B5-A7F9-93DCB28B030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Funcionamiento</t>
      </text>
    </comment>
    <comment ref="F217" authorId="22" shapeId="0" xr:uid="{5173390A-276D-44B6-B7DD-2F7DCA3B7F4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En el modelo se llama diferente</t>
      </text>
    </comment>
    <comment ref="I236" authorId="23" shapeId="0" xr:uid="{34EC4E22-371C-4C0F-BEA7-2D74BD4CF50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DOCUMENTO en el modelo</t>
      </text>
    </comment>
    <comment ref="I251" authorId="24" shapeId="0" xr:uid="{F3951E31-4998-4AC7-8825-A006FCB9F45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ACUMULADO en el modelo</t>
      </text>
    </comment>
    <comment ref="I252" authorId="25" shapeId="0" xr:uid="{FA132217-51EE-4E5E-B15F-81FE80974A1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ACUMULADO en el modelo</t>
      </text>
    </comment>
    <comment ref="I253" authorId="26" shapeId="0" xr:uid="{8FDD2585-5D7B-487A-9627-70A9C3751DE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ACUMULADO en el modelo</t>
      </text>
    </comment>
    <comment ref="I254" authorId="27" shapeId="0" xr:uid="{315D323B-B78C-47BB-A763-4492703736E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ACUMULADO en el modelo</t>
      </text>
    </comment>
    <comment ref="I255" authorId="28" shapeId="0" xr:uid="{6FE18BDB-A889-425A-90F2-CFC59488B35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ACUMULADO en el modelo</t>
      </text>
    </comment>
    <comment ref="I256" authorId="29" shapeId="0" xr:uid="{1EE8E1F1-6FC5-49A9-8435-30AFAE58654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ACUMULADO en el modelo</t>
      </text>
    </comment>
    <comment ref="I257" authorId="30" shapeId="0" xr:uid="{FF0ED798-7B53-43BA-AA09-70EBC2A47BC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ACUMULADO en el modelo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Aguirre Rios - Contratista IUE</author>
  </authors>
  <commentList>
    <comment ref="E21" authorId="0" shapeId="0" xr:uid="{E9579820-B270-4C7E-BC6A-B415C463AB7D}">
      <text>
        <r>
          <rPr>
            <sz val="11"/>
            <color theme="1"/>
            <rFont val="Aptos Narrow"/>
            <family val="2"/>
            <scheme val="minor"/>
          </rPr>
          <t>Daniel Aguirre Rios - Contratista IUE:
REVISAR SI SE ESTA DUPLICANDO LA NOMINA O NO.</t>
        </r>
      </text>
    </comment>
    <comment ref="E23" authorId="0" shapeId="0" xr:uid="{E795C1A3-F718-48DC-8905-9CE5ED6A3A3D}">
      <text>
        <r>
          <rPr>
            <sz val="11"/>
            <color theme="1"/>
            <rFont val="Aptos Narrow"/>
            <family val="2"/>
            <scheme val="minor"/>
          </rPr>
          <t>Daniel Aguirre Rios - Contratista IUE:
SE INCLUYEN $ 450 MM, QUE VIENEN DEL PIC CO</t>
        </r>
      </text>
    </comment>
  </commentList>
</comments>
</file>

<file path=xl/sharedStrings.xml><?xml version="1.0" encoding="utf-8"?>
<sst xmlns="http://schemas.openxmlformats.org/spreadsheetml/2006/main" count="4544" uniqueCount="653">
  <si>
    <t>EJE</t>
  </si>
  <si>
    <t>PROGRAMA</t>
  </si>
  <si>
    <t>PROYECTO</t>
  </si>
  <si>
    <t>ODS</t>
  </si>
  <si>
    <t>MODELO</t>
  </si>
  <si>
    <t>UNIDAD DE MEDIDA</t>
  </si>
  <si>
    <t>FDA</t>
  </si>
  <si>
    <t>LB</t>
  </si>
  <si>
    <t>META 2025</t>
  </si>
  <si>
    <t>META 2026</t>
  </si>
  <si>
    <t>META 2027</t>
  </si>
  <si>
    <t>META 2028</t>
  </si>
  <si>
    <t>META ABRIL DE 2029</t>
  </si>
  <si>
    <t>META PLAN</t>
  </si>
  <si>
    <t>1. GESTIÓN DEL DESARROLLO ACADÉMICO</t>
  </si>
  <si>
    <t>INDICADOR DE IMPACTO</t>
  </si>
  <si>
    <t>Ampliación de cobertura educativa en programas de pregrado</t>
  </si>
  <si>
    <t>NO</t>
  </si>
  <si>
    <t>Número</t>
  </si>
  <si>
    <t>CAPACIDAD</t>
  </si>
  <si>
    <t>Estudiantes provenientes del modelo de articulación media–superior que acceden a programas de educación superior en la IUE</t>
  </si>
  <si>
    <t>SI</t>
  </si>
  <si>
    <t>Porcentaje</t>
  </si>
  <si>
    <t>MANTENIMIENTO</t>
  </si>
  <si>
    <t xml:space="preserve">Tasa de ocupación de los graduados </t>
  </si>
  <si>
    <t>Tasa de deserción anual</t>
  </si>
  <si>
    <t>Publicaciones seriadas IUE con Índice H</t>
  </si>
  <si>
    <t>1.1. RENOVACIÓN PARA LA EXCELENCIA ACADÉMICA</t>
  </si>
  <si>
    <t>INDICADOR DE RESULTADO</t>
  </si>
  <si>
    <t>Cumplimiento de la ruta de los resultados de aprendizajes en los programas académicos</t>
  </si>
  <si>
    <t>FLUJO</t>
  </si>
  <si>
    <t>Resultados pruebas Saber Pro</t>
  </si>
  <si>
    <t>Desempeño académico de los estudiantes de pregrado</t>
  </si>
  <si>
    <t>Percepción de los graduados de la calidad y pertinencia de programas académicos</t>
  </si>
  <si>
    <t>Participación de estudiantes en actividades de formación integral</t>
  </si>
  <si>
    <t>Tasa de graduación acumulada</t>
  </si>
  <si>
    <t>ODS 4: Educación de calidad
ODS 16: Paz, justicia e instituciones sólidas</t>
  </si>
  <si>
    <t>1.1.1. Actualización de la normatividad asociada a la docencia</t>
  </si>
  <si>
    <t>INDICADOR DE PRODUCTO</t>
  </si>
  <si>
    <t>Actos administrativos adoptados para la actualización de la normatividad institucional correspondiente a estudiantes de pregrado y posgrado</t>
  </si>
  <si>
    <t>ACUMULADO</t>
  </si>
  <si>
    <t>Actos administrativos adoptados para la actualización de la normatividad institucional correspondiente a los docentes</t>
  </si>
  <si>
    <t>ODS 4: Educación de calidad
ODS 9: Industria, innovación e infraestructura
ODS 16: Paz, justicia e instituciones sólidas
ODS 17: Alianzas para lograr los objetivos</t>
  </si>
  <si>
    <t xml:space="preserve">1.1.2. Diseño de programas académicos en sus diferentes modalidades </t>
  </si>
  <si>
    <t>Programas de pregrado y posgrado ofertados</t>
  </si>
  <si>
    <t>Nuevas solicitudes radicadas asociadas a modificación, obtención o renovación de registros calificados</t>
  </si>
  <si>
    <t>Nuevos estudios de pertinencia de programas de pregrado y posgrado realizados</t>
  </si>
  <si>
    <t>ODS 4: Educación de calidad
ODS 10: Reducción de las desigualdades</t>
  </si>
  <si>
    <t>1.1.3. Renovación curricular pedagógica y evaluativa: hacia una educación pertinente </t>
  </si>
  <si>
    <t>Estrategias implementadas para fortalecer competencias genéricas y especificas</t>
  </si>
  <si>
    <t>Actos administrativos adoptados para la actualización de la normatividad institucional asociada al currículo</t>
  </si>
  <si>
    <t>ODS 4: Educación de calidad
ODS 10: Reducción de las desigualdades
ODS 16: Paz, justicia e instituciones sólidas</t>
  </si>
  <si>
    <t>1.1.4. Formulación de metodologías asociadas al modelo Dialógico atendiendo las diferentes modalidades</t>
  </si>
  <si>
    <t xml:space="preserve">Estrategias implementadas asociadas al Modelo Pedagógico </t>
  </si>
  <si>
    <t xml:space="preserve">Docentes que participan en el Plan Institucional de Capacitación - PIC (Línea pedagogica) </t>
  </si>
  <si>
    <t>ODS 4: Educación de calidad
ODS 8: Trabajo decente y crecimiento económico
ODS 5: Igualdad de género</t>
  </si>
  <si>
    <t xml:space="preserve">1.1.5. Fomento para la formalización, vinculación y permanencia docente </t>
  </si>
  <si>
    <t>Docentes que participan en el Plan Institucional de Capacitación PIC (carrera y ocasionales)</t>
  </si>
  <si>
    <t xml:space="preserve">Relación docente / estudiante  </t>
  </si>
  <si>
    <t>REDUCCIÓN</t>
  </si>
  <si>
    <t>Convocatorias para docentes de carrera realizadas</t>
  </si>
  <si>
    <t xml:space="preserve">NO </t>
  </si>
  <si>
    <t>Docentes de carrera vinculados</t>
  </si>
  <si>
    <t>1.2. REGIÓN DIGITAL</t>
  </si>
  <si>
    <t>Nuevos convenios gestionados para ampliación de cobertura</t>
  </si>
  <si>
    <t>Asignaturas del plan de estudios con contenidos digitales disponibles en plataforma institucional</t>
  </si>
  <si>
    <t>Resultados de evalución satisfactoria de la calidad pedagógica y técnica de contenidos digitales desarrollados</t>
  </si>
  <si>
    <t>Proyectos de producción de contenidos digitales gestionados para la Región Digital</t>
  </si>
  <si>
    <t>Estudiantes de educación media que participan en las estrategias del modelo de articulación media–superior</t>
  </si>
  <si>
    <t>ODS 4: Educación de calidad
ODS 9: Industria, innovación e infraestructura
ODS 10: Reducción de las desigualdades
ODS 17: Alianzas para lograr los objetivos</t>
  </si>
  <si>
    <t>1.2.1. Implementación de la política de Educación para la Región Digital</t>
  </si>
  <si>
    <t>Política de educación para la Región Digital mplementada</t>
  </si>
  <si>
    <t>Nuevos programas ofertados de pregrado y posgrado en modalidad virtual o híbrida</t>
  </si>
  <si>
    <t>ODS 4: Educación de calidad
ODS 9: Industria, innovación e infraestructura</t>
  </si>
  <si>
    <t>1.2.2.  Implementación del Centro de Producción Audiovisual (CPA)</t>
  </si>
  <si>
    <t>Adecuación de infraestructura y plataformas tecnológicas del CPA</t>
  </si>
  <si>
    <t xml:space="preserve">Procesos de enseñanza - estudio - aprendizaje con herramientas TIC incorporadas </t>
  </si>
  <si>
    <t>Avance en la implementación del CPA</t>
  </si>
  <si>
    <t>ODS 4: Educación de calidad
ODS 10: Reducción de las desigualdades
ODS 17: Alianzas para lograr los objetivos</t>
  </si>
  <si>
    <t xml:space="preserve">1.2.3. Adaptación del modelo de articulación de la educación media con la educación superior </t>
  </si>
  <si>
    <t>Acto administrativo adoptado para la definición del modelo de articulación de la educación media con la educación superior</t>
  </si>
  <si>
    <t>Estrategias implementadas de articulación de la educación media con la educación superior</t>
  </si>
  <si>
    <t>1.3. ECOSISTEMA INFORMACIONAL PARA EL APRENDIZAJE, LA INNOVACIÓN Y EL FOMENTO CULTURAL</t>
  </si>
  <si>
    <t>Publicaciones del Fondo Editorial bajo Acceso Abierto Diamante</t>
  </si>
  <si>
    <t>Personas beneficiadas por los servicios especializados de la Biblioteca</t>
  </si>
  <si>
    <t>Personas formadas en servicios de información de la Biblioteca</t>
  </si>
  <si>
    <t>Personas formadas por la Biblioteca que utilizan recursos bibliográficos digitales</t>
  </si>
  <si>
    <t>1.3.1. Fortalecimiento del Fondo Editorial institucional</t>
  </si>
  <si>
    <t>Obras publicadas del Fondo Editorial IUE</t>
  </si>
  <si>
    <t>Eventos nacionales e internacionales en los que participa el Fondo Editorial</t>
  </si>
  <si>
    <t>Alianzas y convenios de cooperación editorial activos</t>
  </si>
  <si>
    <t xml:space="preserve">1.3.2. Desarrollo del Centro de Recursos de Aprendizaje, Información e Innovación (CRAII) Biblioteca Jorge Franco Vélez </t>
  </si>
  <si>
    <t>Recursos bibliográficos físicos disponibles</t>
  </si>
  <si>
    <t>Bases de datos bibliográficas disponibles</t>
  </si>
  <si>
    <t>Préstamos de recursos bibliográficos físicos realizados</t>
  </si>
  <si>
    <t>Estudiantes que utilizan recursos bibliográficos físicos o digitales de la Biblioteca</t>
  </si>
  <si>
    <t>Personas que participan en las actividades de promoción cultural en la comunidad académica</t>
  </si>
  <si>
    <t>2. GESTIÓN DE LA INVESTIGACIÓN CIENTÍFICA, TECNOLÓGICA E INNOVACIÓN</t>
  </si>
  <si>
    <t>Grupos de investigación categorizados por MinCiencia</t>
  </si>
  <si>
    <t>Investigadores reconocidos y categorizdos por MinCiencias</t>
  </si>
  <si>
    <t>Investigadores con Índice H</t>
  </si>
  <si>
    <t>Proyectos que contribuyen a los Objetivos de Desarrollo Sostenible (ODS)</t>
  </si>
  <si>
    <t>2.1. ARTICULACIÓN DE LA GESTIÓN INVESTIGATIVA</t>
  </si>
  <si>
    <t>Productos de transferencia de conocimiento científico y tecnológico</t>
  </si>
  <si>
    <t>Estudiantes investigadores en formación</t>
  </si>
  <si>
    <t>Estudiantes que participan en los semilleros de investigación</t>
  </si>
  <si>
    <t>ODS 4: Educación de calidad
ODS 9: Industria, innovación e infraestructura
ODS 17: Alianzas para lograr los objetivos</t>
  </si>
  <si>
    <t>2.1.1. Actualización del Sistema Institucional de Investigación, Innovación y Creación (SIIIC)</t>
  </si>
  <si>
    <t>Política del Sistema Institucional de Investigación, Innovación y Creación (SIIIC) aprobada</t>
  </si>
  <si>
    <t>Sistema Institucional de Investigación, Innovación y Creación (SIIIC) implementado</t>
  </si>
  <si>
    <t>2.1.2. Consolidación de alianzas estratégicas para el desarrollo de proyectos de investigación e innovación</t>
  </si>
  <si>
    <t>Redes, membresías y convenios activos</t>
  </si>
  <si>
    <t>ODS 4: Educación de calidad
ODS 9: Industria, innovación e infraestructura
ODS 10: Reducción de las desigualdades</t>
  </si>
  <si>
    <t>2.1.3. Desarrollo de estrategias que promuevan la formación en investigación</t>
  </si>
  <si>
    <t>Actividades implementadas de visibilización y posicionamiento de los semilleros de investigación</t>
  </si>
  <si>
    <t>Espacios de formación institucional en investigación formativa desarrollados</t>
  </si>
  <si>
    <t>Semilleros de investigación activos</t>
  </si>
  <si>
    <t>2.2. DESARROLLO DE LA INVESTIGACIÓN CIENTÍFICA</t>
  </si>
  <si>
    <t>Volumen de producción académica y científica</t>
  </si>
  <si>
    <t>Proyectos de investigación aprobados en convocatorias internas y externas nacionales o internacionales</t>
  </si>
  <si>
    <t>Productos en tipología desarrollo tecnológico e Innovación, relacionados en las descripciones de proyectos de Investigación, aprobados por el Comité Central de Investigación</t>
  </si>
  <si>
    <t>ODS 4: Educación de calidad
ODS 9: Industria, innovación e infraestructura
ODS 11: Ciudades y comunidades sostenibles
ODS 17: Alianzas para lograr los objetivos</t>
  </si>
  <si>
    <t xml:space="preserve">2.2.1. Dinamización de las estrategias orientadas a la producción académica e investigativa asociada a los grupos de investigación institucionales </t>
  </si>
  <si>
    <t>Grupos de investigación fortalecidos con acciones de acompañamiento institucional</t>
  </si>
  <si>
    <t>ODS 4: Educación de calidad
ODS 8: Trabajo decente y crecimiento económico
ODS 10: Reducción de las desigualdades</t>
  </si>
  <si>
    <t>2.2.2. Fomento de los incentivos a la producción investigativa</t>
  </si>
  <si>
    <t>Investigadores beneficiados a través de las estrategias institucionales de incentivos</t>
  </si>
  <si>
    <t>Estudiantes investigadores en formación con estímulo económico vinculados a procesos de investigación</t>
  </si>
  <si>
    <t>Estudiantes investigadores en formación con estímulo académico vinculados a procesos de investigación</t>
  </si>
  <si>
    <t>2.2.3. Promoción de la divulgación científica</t>
  </si>
  <si>
    <t>Investigadores que participan en eventos científicos nacionales o internacionales</t>
  </si>
  <si>
    <t>Productos investigativos divulgados a través de medios institucionales</t>
  </si>
  <si>
    <t>3. CALIDAD EDUCATIVA Y VINCULACIÓN CON EL ENTORNO ​</t>
  </si>
  <si>
    <t xml:space="preserve">Acreditación institucional en Alta Calidad </t>
  </si>
  <si>
    <t>Proyectos especiales de extensión que promuevan el desarrollo social, económico y ambiental de los territorios</t>
  </si>
  <si>
    <t xml:space="preserve">SI </t>
  </si>
  <si>
    <t>Egresados que reportan mejoras en condiciones de vida (vivienda, salud, nivel de educación)</t>
  </si>
  <si>
    <t>Impacto de las estrategias de comunicación institucionales</t>
  </si>
  <si>
    <t>3.1. GESTIÓN DE LA CALIDAD EDUCATIVA​</t>
  </si>
  <si>
    <t>Tasa de programas acreditados</t>
  </si>
  <si>
    <t>Resultados de la autoevaluación de programas</t>
  </si>
  <si>
    <t>Resultados de la autoevaluación institucional</t>
  </si>
  <si>
    <t>Avance en la gestión del plan de mejoramiento institucional</t>
  </si>
  <si>
    <t>Certificaciones en normas técnicas obtenidas</t>
  </si>
  <si>
    <t>ODS 4: Educación de calidad
ODS 16: Paz, justicia e instituciones sólidas
ODS 17: Alianzas para lograr los objetivos</t>
  </si>
  <si>
    <t>3.1.1. Consolidación del Sistema Interno de Aseguramiento de la Calidad  (SIAC)​</t>
  </si>
  <si>
    <t>Alcance de la política de aseguramiento de la calidad (manual de SIAC)</t>
  </si>
  <si>
    <t>Avance en la gestión de los planes de mejoramiento de los procesos</t>
  </si>
  <si>
    <t xml:space="preserve">Percepción de los grupos de interes y de valor </t>
  </si>
  <si>
    <t xml:space="preserve"> 3.2. GESTIÓN DE LA EXTENSIÓN Y LA PROYECCIÓN SOCIAL</t>
  </si>
  <si>
    <t>Personas beneficiadas con los servicios asistenciales asociados a problemáticas de la comunidad</t>
  </si>
  <si>
    <t xml:space="preserve">Personas atendidas en programas de Educación Continua </t>
  </si>
  <si>
    <t>Graduados que participan en la oferta de Educación Continua</t>
  </si>
  <si>
    <t>Actividades de seguimiento y relacionamiento con los egresados realizadas</t>
  </si>
  <si>
    <t>Usuarios beneficiados de los productos de transferencia de conocimiento científico y tecnológico</t>
  </si>
  <si>
    <t>Ingresos generados a partir de la ejecución de las formas de extensión</t>
  </si>
  <si>
    <t>ODS 4: Educación de calidad
ODS 10: Reducción de las desigualdades
ODS 10: Reducción de las desigualdades
ODS 11: Ciudades y comunidades sostenibles</t>
  </si>
  <si>
    <t xml:space="preserve">3.2.1. Innovación en las diferentes formas de Extensión </t>
  </si>
  <si>
    <t xml:space="preserve">Servicios asistenciales prestados y asociados a problemáticas de la comunidad </t>
  </si>
  <si>
    <t>Estudiantes en práctica profesional</t>
  </si>
  <si>
    <t>Programas de educación continúa ejecutados (seminarios, cursos y diplomados)</t>
  </si>
  <si>
    <t>Servicios prestados a través de los productos de transferencia de conocimiento científico y tecnológico</t>
  </si>
  <si>
    <t>Proyectos de investigación y de extensión gestionados con el sector productivo</t>
  </si>
  <si>
    <t>ODS 4: Educación de calidad
ODS 8: Trabajo decente y crecimiento económico
ODS 10: Reducción de las desigualdades
ODS 17: Alianzas para lograr los objetivos</t>
  </si>
  <si>
    <t>3.2.2. Implementación del modelo de gestión de graduados</t>
  </si>
  <si>
    <t>Estudios de impacto del desempeño de graduados realizado</t>
  </si>
  <si>
    <t>Bolsa de empleo autorizada ante la UAE del Servicio de empleo</t>
  </si>
  <si>
    <t>Casa del egresado en funcionamiento</t>
  </si>
  <si>
    <t>ODS 4: Educación de calidad
ODS 11: Ciudades y comunidades sostenible
ODS 16: Paz, justicia e instituciones sólidas
ODS 17: Alianzas para lograr los objetivos</t>
  </si>
  <si>
    <t xml:space="preserve">3.2.3. Protección del patrimonio material e inmaterial </t>
  </si>
  <si>
    <t>Política de gestión, difusión y salvaguarda del patrimonio institucional adopatada</t>
  </si>
  <si>
    <t xml:space="preserve">Avance del plan de protección del patrimonio cultural material e inmaterial </t>
  </si>
  <si>
    <t>3.3. GESTIÓN DE LA INTERNACIONALIZACIÓN​</t>
  </si>
  <si>
    <t>Acciones ejecutadas en el marco de las redes, membresías y convenios activos</t>
  </si>
  <si>
    <t>Actividades realizadas que promuevan la internacionalización institucional</t>
  </si>
  <si>
    <t>Participantes en las actividades para el desarrollo de competencias en lenguas extranjeras</t>
  </si>
  <si>
    <t>Estudiantes certificados en el nivel B1 en una lengua extranjera</t>
  </si>
  <si>
    <t>3.3.1. Fortalecimiento de las estrategias de internacionalización del currículo en los programas académicos​</t>
  </si>
  <si>
    <t>Estudiantes que participan en actividades de internacionalización del currículo</t>
  </si>
  <si>
    <t>Actividades de internacionalización del currículo realizadas</t>
  </si>
  <si>
    <t>Estudiantes que participan en los cursos de la Escuela de Idiomas</t>
  </si>
  <si>
    <t xml:space="preserve">3.3.2. Potenciación de la movilidad académica en sus diferentes modalidades </t>
  </si>
  <si>
    <t>Estudiantes con movilidad nacional o internacional entrante y saliente</t>
  </si>
  <si>
    <t>Docentes con movilidad nacional o internacional  entrante y saliente</t>
  </si>
  <si>
    <t>ODS 4: Educación de calidad
ODS 17: Alianzas para lograr los objetivos</t>
  </si>
  <si>
    <t xml:space="preserve">3.3.3. Consolidación del relacionamiento y posicionamiento nacional e internacional de la institución </t>
  </si>
  <si>
    <t>Satisfacción de los asistentes a eventos académicos de alto impacto desarrollados</t>
  </si>
  <si>
    <t>3.4. IDENTIDAD, COMUNICACIÓN, MERCADEO Y RELACIONES PUBLICAS​</t>
  </si>
  <si>
    <t>Efectividad de los canales de comunicación institucional</t>
  </si>
  <si>
    <t>Efectividad de las actividades de Mercadeo</t>
  </si>
  <si>
    <t xml:space="preserve">Free Press generado por la Oficina de Comunicaciones y Relaciones Públicas
</t>
  </si>
  <si>
    <t>3.4.1. Transformación del Plan Estratégico de Comunicaciones </t>
  </si>
  <si>
    <t>Cumplimiento del Plan Estratégico de Comunicaciones y Relaciones Públicas</t>
  </si>
  <si>
    <t>ODS 8: Trabajo decente y crecimiento económico
ODS 17: Alianzas para lograr los objetivos</t>
  </si>
  <si>
    <t xml:space="preserve">3.4.2. Consolidación de la política de Mercadeo Institucional  </t>
  </si>
  <si>
    <t>Política de Mercadeo implementada</t>
  </si>
  <si>
    <t>4. DESARROLLO HUMANO Y ORGANIZACIONAL</t>
  </si>
  <si>
    <t>Impacto de la política de permanencia semestral en la retención estudiantil</t>
  </si>
  <si>
    <t>Impacto de los servicios del área de desarrollo humano en la permanencia estudiantil</t>
  </si>
  <si>
    <t>Impacto de los servicios del área de promoción y prevención en la permanencia estudiantil</t>
  </si>
  <si>
    <t>Impacto de los servicios del área de fomento artístico y cultural en la permanencia estudiantil</t>
  </si>
  <si>
    <t>Impacto de los servicios del área de deporte y recreación en la permanencia estudiantil</t>
  </si>
  <si>
    <t>Cumplimiento de los objetivos institucionales</t>
  </si>
  <si>
    <t>PROGRAMA 4.1. GESTIÓN DEL BIENESTAR INSTITUCIONAL​</t>
  </si>
  <si>
    <t>Personas que participan de los servicios del área de desarrollo humano</t>
  </si>
  <si>
    <t>Personas que participan de los servicios área de promoción y prevención</t>
  </si>
  <si>
    <t>Personas que participan de los servicios área de fomento artístico y cultural</t>
  </si>
  <si>
    <t>Personas que participan de los servicios área de deporte y recreación</t>
  </si>
  <si>
    <t>Estudiantes beneficiados de los apoyos economicos de la IUE para acceso y permanencia</t>
  </si>
  <si>
    <t>Índice de Educación Inclusiva para la Educación Superior - INES</t>
  </si>
  <si>
    <t>Reestructuración académica - administrativa institucional aprobada</t>
  </si>
  <si>
    <t xml:space="preserve">Pertinencia del Plan Institucional de Capacitación PIC </t>
  </si>
  <si>
    <t>Satisfacción del Plan de Bienestar Laboral, Estímulos e Incentivos</t>
  </si>
  <si>
    <t xml:space="preserve">4.1.1. Fortalecimiento de la política de Permanencia Institucional </t>
  </si>
  <si>
    <t xml:space="preserve">Estudiantes que participan en las estrategias de la política de permanencia (3 componentes) </t>
  </si>
  <si>
    <t xml:space="preserve">Servicios prestados por las estrategias de la política de permanencia </t>
  </si>
  <si>
    <t>ODS 3: Salud y Bienestar
ODS 4: Educación de Calidad
ODS 5: Igualdad de Género
ODS 10: Reducción de las Desigualdades
ODS 16: Paz, Justicia e Instituciones Sólidas</t>
  </si>
  <si>
    <t>4.1.2. Fomento de las áreas de Bienestar Institucional</t>
  </si>
  <si>
    <t>Acto administrativo adoptado de la Politica de Bienestar Institucional</t>
  </si>
  <si>
    <t>Servicios prestados por el área de desarrollo humano</t>
  </si>
  <si>
    <t>Servicios prestados por el área de promoción y prevención</t>
  </si>
  <si>
    <t>Servicios prestados por el área de fomento artístico y cultural</t>
  </si>
  <si>
    <t>Servicios prestados por el área de deporte y recreación</t>
  </si>
  <si>
    <t xml:space="preserve">Estrategias de divulgacion desarrolladas de los beneficios socioeconómicos </t>
  </si>
  <si>
    <t>ODS 4: Educación de calidad
ODS 10: Reducción de las desigualdades
ODS 5: Igualdad de género
ODS 16: Paz, justicia e instituciones sólidas</t>
  </si>
  <si>
    <t xml:space="preserve">4.1.3.  Integración de las estrategias de la Educación Inclusiva </t>
  </si>
  <si>
    <t xml:space="preserve">Diagnóstico de barreras para la inclusion educativa </t>
  </si>
  <si>
    <t xml:space="preserve">Personas capacitadas en enfoque diferencial e inclusión </t>
  </si>
  <si>
    <t xml:space="preserve">Campañas realizadas sobre estrategias de la educación inclusiva </t>
  </si>
  <si>
    <t>Nuevos ambientes de aprendizaje incluyentes habilitados</t>
  </si>
  <si>
    <t>Estudiantes con necesidades educativas diversas atendidas</t>
  </si>
  <si>
    <t>ODS 3: Salud y bienestar
ODS 4: Educación de calidad
ODS 8: Trabajo decente y crecimiento económico
ODS 10: Reducción de las desigualdades</t>
  </si>
  <si>
    <t xml:space="preserve">4.1.4. Desarrollo del talento humano </t>
  </si>
  <si>
    <t>Restructuración académica - administrativa institucional implementada</t>
  </si>
  <si>
    <t>Cumplimiento del Plan de Bienestar Laboral, Estímulos e Incentivos</t>
  </si>
  <si>
    <t>Cumplimiento del Plan Institucional de Capacitación PIC</t>
  </si>
  <si>
    <t>Cumplimiento del Plan Anual en Seguridad y Salud en el Trabajo</t>
  </si>
  <si>
    <t xml:space="preserve">Autoevaluación según estándares mínimos de Seguridad y Salud en el Trabajo </t>
  </si>
  <si>
    <t>PROGRAMA 4.2. La IUE territorio inteligente y ecológicamente responsable</t>
  </si>
  <si>
    <t>Ambientes de aprendizaje, creación y experimentación habilitados</t>
  </si>
  <si>
    <t>Nueva área intervenida y habilitada acorde a las necesidades institucionales</t>
  </si>
  <si>
    <t>m2</t>
  </si>
  <si>
    <t>Área construida de infraestructura física</t>
  </si>
  <si>
    <t>Pertinencia, accesibilidad, seguridad y usabilidad de la plataforma tecnológica</t>
  </si>
  <si>
    <t>Efectividad de los sistemas de Información</t>
  </si>
  <si>
    <t>Consumo de agua per cápita</t>
  </si>
  <si>
    <t>m3</t>
  </si>
  <si>
    <t>Consumo de energía per cápita</t>
  </si>
  <si>
    <t>Kw</t>
  </si>
  <si>
    <t>Índice de Desempeño Institucional - IDI (FURAG)</t>
  </si>
  <si>
    <t>94,2%</t>
  </si>
  <si>
    <t>96,7%</t>
  </si>
  <si>
    <t>ODS 4: Educación de calidad
ODS 9: Industria, innovación e infraestructura
ODS 11: Ciudades y comunidades sostenibles</t>
  </si>
  <si>
    <t xml:space="preserve">PROYECTO </t>
  </si>
  <si>
    <t>4.2.1. Modernización  de la infraestructura física y tecnológica</t>
  </si>
  <si>
    <t>Plan Campus actualizado</t>
  </si>
  <si>
    <t>Cumplimiento del Plan Campus</t>
  </si>
  <si>
    <t xml:space="preserve">Cumplimiento del Plan de Mantenimiento </t>
  </si>
  <si>
    <t>Cumplimiento del Plan Estratégico de Tecnologías de la Información</t>
  </si>
  <si>
    <t>Usabilidad de los sistemas de información institucional</t>
  </si>
  <si>
    <t>Cumplimiento del Plan de renovación tecnológica</t>
  </si>
  <si>
    <t>ODS 4: Educación de calidad
ODS 11: Ciudades y comunidades sostenibles
ODS 12: Producción y consumo responsables
ODS 13: Acción por el clima
ODS 17: Alianzas para lograr los objetivos</t>
  </si>
  <si>
    <t xml:space="preserve">4.2.2. Transformación de la gestión ambiental  y documental </t>
  </si>
  <si>
    <t>Modelo de territorios inteligentes implementado</t>
  </si>
  <si>
    <t>Cumplimiento del Plan Integral de Gestión Ambiental - PIGA</t>
  </si>
  <si>
    <t>Residuos sólidos gestionados adecuadamente</t>
  </si>
  <si>
    <t>kg</t>
  </si>
  <si>
    <t>Seguimiento a archivos de gestión de las dependencias</t>
  </si>
  <si>
    <t>Acciones de conservación y preservación de patrimonio documental desarrolladas</t>
  </si>
  <si>
    <t xml:space="preserve">ODS 4: Educación de calidad
ODS 9: Industria, innovación e infraestructura
ODS 16: Paz, justicia e instituciones sólidas
ODS 17: Alianzas para lograr los objetivos
</t>
  </si>
  <si>
    <t xml:space="preserve">4.2.3. Consolidación de un sistema integrado de información institucional </t>
  </si>
  <si>
    <t xml:space="preserve">Fases ejecutadas Desarrollo Sistema de información académico desarrollado </t>
  </si>
  <si>
    <t xml:space="preserve">Sistema Sistema de información académico desarrollado </t>
  </si>
  <si>
    <t>Implementación del modelo de Infraestructura y gobernanza de datos</t>
  </si>
  <si>
    <t>4.2.4. Implementación del observatorio institucional</t>
  </si>
  <si>
    <t>Cumplimiento del plan de acción del observatorio institucional</t>
  </si>
  <si>
    <t>Informes técnicos generados por línea estratégica del Observatorio Institucional</t>
  </si>
  <si>
    <t>Tableros de control de procesos institucionales publicados</t>
  </si>
  <si>
    <t>%</t>
  </si>
  <si>
    <t>PROYECCIÓN PRESUPUESTAL INVERSIÓN TOTAL CUATRIENIO (PROGRAMACIÓN FINANCIERA)</t>
  </si>
  <si>
    <t>PROYECCIÓN PRESUPUESTAL INVERSIÓN TOTAL 2025 (PROGRAMACIÓN FINANCIERA)</t>
  </si>
  <si>
    <t>PROYECCIÓN PRESUPUESTAL INVERSIÓN TOTAL 2026 (PROGRAMACIÓN FINANCIERA)</t>
  </si>
  <si>
    <t>PROYECCIÓN PRESUPUESTAL INVERSIÓN TOTAL 2027 (PROGRAMACIÓN FINANCIERA)</t>
  </si>
  <si>
    <t>PROYECCIÓN PRESUPUESTAL INVERSIÓN TOTAL 2028 (PROGRAMACIÓN FINANCIERA)</t>
  </si>
  <si>
    <t>Solicitudes radicadas asociadas a modificación, obtención o renovación de registros calificados</t>
  </si>
  <si>
    <t>Normatividad institucional actualizada correspondiente a los estudiantesde de pregrado y posgrado</t>
  </si>
  <si>
    <t>1.1.2. Diseño de programas académicos en sus diferentes modalidades (PM)</t>
  </si>
  <si>
    <t>Estudios de pertinencia de oferta de pregrado y posgrado</t>
  </si>
  <si>
    <t>Oferta de programas de pregrado y posgrado</t>
  </si>
  <si>
    <t>1.1.3. Fortalecimiento de las competencias genéricas y específicas que promuevan la formación integral</t>
  </si>
  <si>
    <t>Actividades para fortalecer competencias genéricas y especificas</t>
  </si>
  <si>
    <t>Resultados pruebas Saber</t>
  </si>
  <si>
    <t>1.1.4. Actualización de los lineamientos curriculares (Actualización de lineamientos para el desarrollo de la docencia)</t>
  </si>
  <si>
    <t>Normatividad institucional actualizada asociada al currículo</t>
  </si>
  <si>
    <t>1.1.5. Consolidación de estrategias pedagógicas, didacticas y de evaluación de los aprendizajes (Queda este nombre)</t>
  </si>
  <si>
    <t>1.1.6. Fortalecimiento de las estrategias de articulación de la educación media con la educación superior</t>
  </si>
  <si>
    <t>Documento del modelo de articulación de la educación media con la educación superior</t>
  </si>
  <si>
    <t>Estrategias de articulación de la educación media con la educación superior</t>
  </si>
  <si>
    <t>Estudiantes provenientes de educación media que acceden a programas de la institución</t>
  </si>
  <si>
    <t>Estudiantes provenientes de educación media que participan en las estrategias del modelo de articulación</t>
  </si>
  <si>
    <t>1.1.7. Formulación de metodologías asociadas al modelo dialógico atendiendo las diferentes modalidades</t>
  </si>
  <si>
    <t xml:space="preserve">Estrategias implementadas asociadas al Modelo pedagógico </t>
  </si>
  <si>
    <t xml:space="preserve">Participación de docentes en el Plan Institucional de Capacitación - PIC (Línea pedagogica) </t>
  </si>
  <si>
    <t>Normatividad institucional actualizada correspondiente a los docentes</t>
  </si>
  <si>
    <t>1.1.9. Fomento para la vinculación y permanencia docente</t>
  </si>
  <si>
    <t>Participación de docentes en el Plan Institucional de Capacitación PIC (carrera y ocasionales)</t>
  </si>
  <si>
    <t>Convocatorias para docentes realizadas</t>
  </si>
  <si>
    <t>Docentes de carrera nuevos vinculados</t>
  </si>
  <si>
    <t>1.2.1. Implementación de la política de educación para la región digital</t>
  </si>
  <si>
    <t>Implementación de la política de educación para la región digital</t>
  </si>
  <si>
    <t>Oferta de programas de pregrado y posgrado en modalidad virtual o en modalidad híbrida</t>
  </si>
  <si>
    <t>Convenios gestionados para ampliación de cobertura</t>
  </si>
  <si>
    <t xml:space="preserve">1.2.2. Desarrollo de contenidos digitales acordes a las necesidades de la región </t>
  </si>
  <si>
    <t>Porcentaje de asignaturas del plan de estudios con contenidos digitales integrados y disponibles en plataforma institucional</t>
  </si>
  <si>
    <t>Porcentaje de avance en la mejora y ampliación de infraestructura y plataformas tecnológicas para educación digital</t>
  </si>
  <si>
    <t>Evalución de la calidad pedagógica y técnica de los contenidos digitales desarrollados</t>
  </si>
  <si>
    <t>Incorporación de herramientas TIC en los procesos de enseñanza - estudio aprendizaje basado en la política</t>
  </si>
  <si>
    <t>1.2.3. Implementación del Centro de Producción Audiovisual - CPA (este es el nombre)</t>
  </si>
  <si>
    <t>% de ejecución de plan de implementación CPA</t>
  </si>
  <si>
    <t>Número de proyectos de producción de contenidos digitales desarrollados con pertinencia regional</t>
  </si>
  <si>
    <t>Documento Actualizado de la Política del Sistema de Investigación</t>
  </si>
  <si>
    <t>Porcentaje de avance en la implementación del Sistema Institucional de Investigación, Innovación y Creación (SIIIC).</t>
  </si>
  <si>
    <t>Inventario redes, membresías y convenios activos desde la Dirección de Investigación e Innovación</t>
  </si>
  <si>
    <t>Estrategias institucionales para el relacionamiento y cooperación académica y científica</t>
  </si>
  <si>
    <t>Espacios de formación institucional en investigación formativa</t>
  </si>
  <si>
    <t>Participación de estudiantes en los semilleros de investigación</t>
  </si>
  <si>
    <t>Semilleros de investigación de las Facultades</t>
  </si>
  <si>
    <t>Número de actividades de visibilización y posicionamiento de los semilleros de investigación</t>
  </si>
  <si>
    <t xml:space="preserve">2.2.1. Fortalecimiento de las estrategias orientadas a la producción académica e investigativa asociada a los grupos de investigación institucionales </t>
  </si>
  <si>
    <t>Producción académica y científica</t>
  </si>
  <si>
    <t>Producción académica y científica con participación de estudiantes</t>
  </si>
  <si>
    <t>% de grupos de investigación fortalecidos con acciones de acompañamiento institucional para su consolidación y mejora en la clasificación nacional.</t>
  </si>
  <si>
    <t>Grupos de investigación categorizados ante Minciencia</t>
  </si>
  <si>
    <t>Categoría de los investigadores</t>
  </si>
  <si>
    <t>Proyectos de investigación (Proyectos  de investigación aprobados en convocatorias internas y externas nacionales o internacionales)</t>
  </si>
  <si>
    <t>2.2.2. Fortalecimiento de los incentivos a la producción investigativa</t>
  </si>
  <si>
    <t>Investigadores beneficiados a través de las estrategias institucionales de incentivos durante el año.</t>
  </si>
  <si>
    <t>Número de estudiantes investigadores en formación con estímulo económico vinculados a procesos de investigación.</t>
  </si>
  <si>
    <t>Número de estudiantes investigadores en formación con estímulo académico vinculados a procesos de investigación.</t>
  </si>
  <si>
    <t>2.3. GESTIÓN DE LA DIVULGACIÓN, TRANSFERENCIA Y APROPIACIÓN SOCIAL DEL CONOCIMIENTO</t>
  </si>
  <si>
    <t>2.3.1. Fortalecimiento de la divulgación científica</t>
  </si>
  <si>
    <t>Número de productos investigativos divulgados a través de medios institucionales en coordinación con la Oficina de Comunicaciones, como parte de la estrategia de visibilización de los incentivos a la producción científica.</t>
  </si>
  <si>
    <t xml:space="preserve">Índice H de los investigadores </t>
  </si>
  <si>
    <t>Número de productos en tipología desarrollo tecnológico e Innovación, relacionados en las descripciones de proyectos de Investigación, aprobados por el Comité Central de Investigación</t>
  </si>
  <si>
    <t>2.3.2. Fortalecimiento de la proyección social de la investigación para el desarrollo sostenible (ELIMINAR)</t>
  </si>
  <si>
    <t>Proyectos que contribuyen a cada ODS</t>
  </si>
  <si>
    <t>2.3.3. Fortalecimiento del Fondo Editorial institucional</t>
  </si>
  <si>
    <t>Participación en eventos nacionales e internacionales</t>
  </si>
  <si>
    <t>Gestión de alianzas, convenios y cooperación editorial</t>
  </si>
  <si>
    <t>Gestión de obras Fondo Editorial IUE</t>
  </si>
  <si>
    <t>Incremento de la publicación seriada bajo Acceso Abierto Diamante</t>
  </si>
  <si>
    <t>Visibilidad de las publicaciones seriadas IUE</t>
  </si>
  <si>
    <t>2.3.4. Desarrollo del Centro de Recursos de Aprendizaje, Información e Innovación (CRAII) - Biblioteca Jorge Franco Vélez​</t>
  </si>
  <si>
    <t>Prestamos de recursos bibliográficos físicos realizados</t>
  </si>
  <si>
    <t>Porcentaje de usuarios formados que acceden y utilizan activamente los recursos digitales de la Biblioteca.</t>
  </si>
  <si>
    <t>Número de personas beneficiadas por los servicios especializados.</t>
  </si>
  <si>
    <t>Número de espacios innovadores de creación, colaboración y experimentación adecuados y dotados para fortalecer las actividades académicas e investigativas.</t>
  </si>
  <si>
    <t>Comunidad impactada en las actividades realizadas para la promoción cultural en la comunidad académica</t>
  </si>
  <si>
    <t>Gestión de los planes de mejoramiento de los procesos</t>
  </si>
  <si>
    <t>Gestión del plan de mejoramiento institucional</t>
  </si>
  <si>
    <t xml:space="preserve">Certificación en normas técnicas </t>
  </si>
  <si>
    <t>3.1.2. Gestión de la acreditación en alta calidad institucional y de programas académicos</t>
  </si>
  <si>
    <t>3.2.1. Consolidación del Consultorio Institucional</t>
  </si>
  <si>
    <t xml:space="preserve">Servicios prestados asistenciales asociados a las problemáticas de la comunidad </t>
  </si>
  <si>
    <t>Usuarios de los servicios asistenciales asociados a las problemáticas de la comunidad</t>
  </si>
  <si>
    <t>Pertinencia de las prácticas profesionales</t>
  </si>
  <si>
    <t>3.2.2. Implementación del modelo de gestión de graduados​</t>
  </si>
  <si>
    <t>Estudios de impacto del desempeño de graduados</t>
  </si>
  <si>
    <t>Graduados que participan en la oferta de educación continua</t>
  </si>
  <si>
    <t>Percepción de los graduados de la calidad y pertinencia del programa</t>
  </si>
  <si>
    <t>Tasa de ocupación de los graduados</t>
  </si>
  <si>
    <t>3.2.3. Fortalecimiento de la gestión de la educación continua​</t>
  </si>
  <si>
    <t>Eventos de Educación continua por programa de pregrado</t>
  </si>
  <si>
    <t xml:space="preserve">Horas de formación acumulada año </t>
  </si>
  <si>
    <t>Número de programas de educación continúa ejecutados (seminarios, cursos y diplomados)</t>
  </si>
  <si>
    <t>Oferta de educación continua asociada a las áreas del conocimiento</t>
  </si>
  <si>
    <t>3.2.4. Consolidación de la unidad de proyectos especiales para la generación de recursos​</t>
  </si>
  <si>
    <t>Proyectos especiales de extensión</t>
  </si>
  <si>
    <t>Proyectos de investigación y de extensión  gestionados con el sector productivo</t>
  </si>
  <si>
    <t>Participantes en las formas de extensión</t>
  </si>
  <si>
    <t xml:space="preserve">Ingresos generados por medio de la ejecución de proyectos y convenios </t>
  </si>
  <si>
    <t>3.2.5. Ejecución de estudios de protección del patrimonio material e inmaterial</t>
  </si>
  <si>
    <t>Política de gestión, difusión y salvaguarda del patrimonio institucional</t>
  </si>
  <si>
    <t>Implementación del Plan de acción para la gestión, difusión y salvaguarda del patrimonio institucional</t>
  </si>
  <si>
    <t>Estudios sobre el patrimonio material e inmaterial</t>
  </si>
  <si>
    <t>Plan de protección del patrimonio material e inmaterial</t>
  </si>
  <si>
    <t>Participación de estudiantes en actividades de internacionalización del currículo</t>
  </si>
  <si>
    <t>Actividades de internacionalización del currículo</t>
  </si>
  <si>
    <t>3.3.2. Fortalecimiento de la movilidad  académica en sus diferentes modalidades​</t>
  </si>
  <si>
    <t>Docentes  con movilidad nacional o internacional  entrante y saliente</t>
  </si>
  <si>
    <t>3.3.3. Gestión de la transferencia de conocimiento a través de eventos de alto impacto nacionales e internacionales​</t>
  </si>
  <si>
    <t>Porcentaje de satisfacción de los asistentes a eventos académicos de alto impacto desarrollados</t>
  </si>
  <si>
    <t>3.3.4. Fortalecimiento del relacionamiento y posicionamiento nacional e internacional de la institución​</t>
  </si>
  <si>
    <t>3.4.1. Fortalecimiento del Plan Estratégico de Comunicaciones. (Fortalecimiento de estrategias de Comunicaciones y Mercadeo Institucional)</t>
  </si>
  <si>
    <t>Impacto  de las estrategias de comunicación institucionales</t>
  </si>
  <si>
    <t>3.4.2. Gestión de las relaciones institucionales</t>
  </si>
  <si>
    <t>3.4.3. Fortalecimiento de la política de mercadeo institucional</t>
  </si>
  <si>
    <t>Efectividad de las actividades realizadas (# de acciones implementadas de la politica / total de acciones planificadas * 100 )</t>
  </si>
  <si>
    <t xml:space="preserve">Cumplimiento del plan de implementación de la Política de Mercadeo </t>
  </si>
  <si>
    <t>4.1.1. Actualización de la política de Bienestar Institucional​ (Actualización de las políticas de bienestar institucional)</t>
  </si>
  <si>
    <t xml:space="preserve">Documento de la politica actualizada </t>
  </si>
  <si>
    <t xml:space="preserve">Número de actividades de mercadeo y comunicacion para el fortalecimiento de la politica </t>
  </si>
  <si>
    <t>Cobertura de los servicios de Bienestar Institucional</t>
  </si>
  <si>
    <t>4.1.2. Fortalecimiento de la política de Permanencia Institucional​</t>
  </si>
  <si>
    <t>Estudiantes atendidos de la política de permanencia (3 componentes)</t>
  </si>
  <si>
    <t>Impacto de la política de permanencia semestral</t>
  </si>
  <si>
    <t>Servicios de la política de permanencia</t>
  </si>
  <si>
    <t>Tasa de graduación</t>
  </si>
  <si>
    <t>Tasa de deserción</t>
  </si>
  <si>
    <t>4.1.3. Fortalecimiento de las estrategias de la Educación Inclusiva​</t>
  </si>
  <si>
    <t xml:space="preserve">Documento con diagnostico de barreras para la inclusion educativa </t>
  </si>
  <si>
    <t xml:space="preserve">Número de personas capacitadas en temas de enfoque diferencial e inclusión </t>
  </si>
  <si>
    <t xml:space="preserve">Número de campañas realizadas </t>
  </si>
  <si>
    <t xml:space="preserve">
Índice de Educación Inclusiva para la Educación Superior -INES
</t>
  </si>
  <si>
    <t>Ambientes de aprendizaje incluyentes: tecnológicos, académicos y físicos.</t>
  </si>
  <si>
    <t>4.1.4. Fortalecimiento de las acciones de prevención y promoción (Fortalecimiento de las áreas de Bienestar Institucional)</t>
  </si>
  <si>
    <t>Servicios del área de promoción y prevención</t>
  </si>
  <si>
    <t xml:space="preserve">Caracterización de la poblacion y los servicios de salud en la IUE </t>
  </si>
  <si>
    <t>Impacto de los servicios del área de promoción y prevención</t>
  </si>
  <si>
    <t>Participantes de los servicios área de promoción y prevención</t>
  </si>
  <si>
    <t>4.1.5. Fortalecimiento de las estrategias culturales y deportivas institucionales​</t>
  </si>
  <si>
    <t>Impacto de los servicios del área de fomento artístico y cultural</t>
  </si>
  <si>
    <t>Impacto de los servicios del área de deporte y recreación</t>
  </si>
  <si>
    <t>Servicios del área de fomento artístico y cultural</t>
  </si>
  <si>
    <t>Participantes de los servicios área de fomento artístico y cultural</t>
  </si>
  <si>
    <t>Servicios del área de deporte y recreación</t>
  </si>
  <si>
    <t>Participantes de los servicios área de deporte y recreación</t>
  </si>
  <si>
    <t>4.1.6. Fortalecimiento de los apoyos socioeconómicos institucionales​</t>
  </si>
  <si>
    <t xml:space="preserve">Estrategias de divulgacion para el fortalecimiento y de los procesos socioecnomicos </t>
  </si>
  <si>
    <t xml:space="preserve">Reporte de datos a gobernanza de datos </t>
  </si>
  <si>
    <t xml:space="preserve">Recursos asignados para cobertura educativo </t>
  </si>
  <si>
    <t xml:space="preserve">Numero de estudiantes beneficiados de los apoyos socioeconomicos de la IUE </t>
  </si>
  <si>
    <t>Apoyo financiero</t>
  </si>
  <si>
    <t>4.1.7. Fortalecimiento del Plan Institucional de Capacitación​</t>
  </si>
  <si>
    <t xml:space="preserve">Impacto del Plan Institucional de Capacitación PIC </t>
  </si>
  <si>
    <t>Cumplimiento del PIC</t>
  </si>
  <si>
    <t>4.1.8. Fortalecimiento del Plan de bienestar e incentivos laboral institucional​</t>
  </si>
  <si>
    <t>Cumplimiento del plan de bienestar laboral, Estímulos e Incentivos</t>
  </si>
  <si>
    <t>Satisfacción del Plan de Bienestar Laboral, Estímulos e incentivo</t>
  </si>
  <si>
    <t>PROGRAMA 4.2. GESTIÓN ADMINISTRATIVA</t>
  </si>
  <si>
    <t>4.2.1. Implementación de la reestructuración académica - administrativa institucional (ELIMINAR)</t>
  </si>
  <si>
    <t>Implementación de la reestructuración académica - administrativa institucional aprobada</t>
  </si>
  <si>
    <t>4.2.2. Fortalecimiento del sistema de Seguridad y Salud en el trabajo. SST</t>
  </si>
  <si>
    <t>Cumplimiento del plan de trabajo anual en seguridad y salud en el trabajo</t>
  </si>
  <si>
    <t xml:space="preserve">Autoevaluación según estándares mínimos de seguridad y salud en el trabajo </t>
  </si>
  <si>
    <t>4.2.3. Consolidación de la IUE como territorio inteligente y ecológicamente responsable</t>
  </si>
  <si>
    <t>Implementación del modelo de territorios inteligentes</t>
  </si>
  <si>
    <t xml:space="preserve">Variación del consumo de agua </t>
  </si>
  <si>
    <t xml:space="preserve">Variación del consumo de energía </t>
  </si>
  <si>
    <t>Cantidad de residuos RAEE gestionados adecuadamente</t>
  </si>
  <si>
    <t xml:space="preserve">Cantidad de residuos orgánicos gestionados adecuadamente </t>
  </si>
  <si>
    <t>Cantidad de material reciclado gestionado adecuadamente</t>
  </si>
  <si>
    <t>Percepción de sostenibilidad del campus (encuesta a usuarios)</t>
  </si>
  <si>
    <t>Disminución de la huella de carbono institucional</t>
  </si>
  <si>
    <t>Cumplimiento del mantenimiento y restauración de jardines y zonas verdes</t>
  </si>
  <si>
    <t>% de cumplimiento del plan de acción anual</t>
  </si>
  <si>
    <t>Publicaciones periódicas producidas</t>
  </si>
  <si>
    <t>Tableros de control diseñados por proceso</t>
  </si>
  <si>
    <t>4.2.5.  Fortalecimiento de la Gestión Documental</t>
  </si>
  <si>
    <t xml:space="preserve">Seguimiento a archivos de gestión </t>
  </si>
  <si>
    <t>Acciones de conservación y preservación de patrimonio</t>
  </si>
  <si>
    <t>PROGRAMA 4.3. GESTIÓN DE LA INFRAESTRUCTURA</t>
  </si>
  <si>
    <t>4.3.1. Fortalecimiento de la infraestructura física institucional</t>
  </si>
  <si>
    <t>Descriptivo del Plan campus</t>
  </si>
  <si>
    <t>Cumplimiento del Plan campus</t>
  </si>
  <si>
    <t>Unidades diseñadas de nueva infraestructura física</t>
  </si>
  <si>
    <t>Metros cuadros construidos de nueva infraestructura física</t>
  </si>
  <si>
    <t>Metros cuadrados intervenidos
y habilitados acordes a la
necesidad institucional</t>
  </si>
  <si>
    <t>Porcentaje de cumplimiento de la matriz de seguimiento (plan de mantenimiento).</t>
  </si>
  <si>
    <t>Cumplimiento del Plan Mantenimiento y restauración de jardines y zonas verdes</t>
  </si>
  <si>
    <t>4.3.2. Desarrollo de un sistema integrado de información institucional</t>
  </si>
  <si>
    <t>4.3.3. Consolidación del modelo de Infraestructura y gobernanza de datos</t>
  </si>
  <si>
    <t xml:space="preserve"> </t>
  </si>
  <si>
    <t>4.3.4. Modernización de la infraestructura tecnológica</t>
  </si>
  <si>
    <t>Cumplimiento del plan de mantenimiento preventivo infraestructura tecnológica</t>
  </si>
  <si>
    <t>Indice de resolución de casos por mesa de ayuda</t>
  </si>
  <si>
    <t>Cumplimiento del PETI -ok</t>
  </si>
  <si>
    <t>Pertinencia, accesibilidad seguridad y usabilidad de la plataforma tecnológica</t>
  </si>
  <si>
    <t>Plan de renovación tecnológica</t>
  </si>
  <si>
    <t xml:space="preserve">EJE NO. 1 GESTIÓN DEL DESARROLLO ACADÉMICO </t>
  </si>
  <si>
    <t>PROGRAMA 1.1. RENOVACIÓN PARA LA EXCELENCIA ACADÉMICA</t>
  </si>
  <si>
    <t>AÑO 2025</t>
  </si>
  <si>
    <t>AÑO 2026</t>
  </si>
  <si>
    <t>AÑO 2027</t>
  </si>
  <si>
    <t>AÑO 2028</t>
  </si>
  <si>
    <t>AÑO 2029</t>
  </si>
  <si>
    <t>TOTAL</t>
  </si>
  <si>
    <t>1.1.1. Actualización del reglamento estudiantil en el nivel de pregrado y posgrado</t>
  </si>
  <si>
    <t xml:space="preserve">1.1.1. Actualización de la normatividad asociada a la docencia </t>
  </si>
  <si>
    <t>1.1.8. Actualización de la normatividad institucional correspondiente a los docentes</t>
  </si>
  <si>
    <t>1.1.2. Diseño de programas académicos en sus diferentes modalidades</t>
  </si>
  <si>
    <t>1.1.3. Fortalecimiento de las competencias genéricas y especificas que promuevan la formación integral</t>
  </si>
  <si>
    <t>1.1.3.Renovación curricular pedagógica y evaluativa: hacia una educación pertinente </t>
  </si>
  <si>
    <t>1.1.4. Actualización de los lineamientos curriculares</t>
  </si>
  <si>
    <t>1.1.5. Consolidación de estrategias pedagógicas, didacticas y de evaluación de los aprendizajes</t>
  </si>
  <si>
    <t>4.1.2 Fortalecimiento de la política de Permanencia Institucional</t>
  </si>
  <si>
    <t>1.1.4. Fortalecimiento de la política de Permanencia Institucional</t>
  </si>
  <si>
    <t>1.1.7. Formulación de metodologías asociadas al modelo Dialógico atendiendo las diferentes modalidades</t>
  </si>
  <si>
    <t>1.1.5. Formulación de metodologías asociadas al modelo Dialógico atendiendo las diferentes modalidades</t>
  </si>
  <si>
    <t>1.1.9. Fortalecimeinto de la docencia</t>
  </si>
  <si>
    <t xml:space="preserve">1.1.6. Fomento para la formalización, vinculación y permanencia docente </t>
  </si>
  <si>
    <t>TOTALES</t>
  </si>
  <si>
    <t>PROGRAMA 1.2. ARTICULACIÓN DE UN ECOSISTEMA INFORMACIONAL PARA EL APRENDIZAJE, LA INNOVACIÓN Y EL FOMENTO CULTURAL</t>
  </si>
  <si>
    <t>2.3.2. Fortalecimiento del Fondo Editorial institucional</t>
  </si>
  <si>
    <t>1.2.1. Fortalecimiento del Fondo Editorial institucional</t>
  </si>
  <si>
    <t xml:space="preserve">2.3.3. Desarrollo del Centro de Recursos de Aprendizaje, Información e Innovación (CRAII) - Biblioteca Jorge Franco Vélez </t>
  </si>
  <si>
    <t xml:space="preserve">1.2.2. Desarrollo del Centro de Recursos de Aprendizaje, Información e Innovación (CRAII) - Biblioteca Jorge Franco Vélez </t>
  </si>
  <si>
    <t>PROGRAMA 1.3. REGIÓN DIGITAL</t>
  </si>
  <si>
    <t>1.3.1. Implementación de la política de educación para la región digital</t>
  </si>
  <si>
    <t>1.2.2. Desarrollo de contenidos digitales acordes a las necesidades de la región ​</t>
  </si>
  <si>
    <t>1.3.2. Implementación del Centro de producción audiovisual</t>
  </si>
  <si>
    <t>1.2.3. Implementación del Centro de producción audiovisual</t>
  </si>
  <si>
    <t xml:space="preserve">1.3.3.  Implementación del modelo de articulación de la educación media con la educación superior </t>
  </si>
  <si>
    <t xml:space="preserve">TOTAL EJE NO. 1 GESTIÓN DEL DESARROLLO ACADÉMICO </t>
  </si>
  <si>
    <t>EJE NO. 2 GESTIÓN DE LA INVESTIGACIÓN CIENTÍFICA, TECNOLÓGICA E INNOVACIÓN</t>
  </si>
  <si>
    <t>PROGRAMA 2.1. ARTICULACIÓN DE LA GESTIÓN INVESTIGATIVA</t>
  </si>
  <si>
    <t xml:space="preserve">2.1.1. Actualización del Sistema Institucional de Investigación, Innovación y Creación (SIIIC) </t>
  </si>
  <si>
    <t>2.1.3. Desarrollo de estrategias que promuevan la formación en investigación (PM)</t>
  </si>
  <si>
    <t>PROGRAMA 2.2. DESARROLLO DE LA INVESTIGACIÓN CIENTÍFICA</t>
  </si>
  <si>
    <t>2.2.1. Fortalecimiento de las estrategias orientadas a la producción académica e investigativa asociada a los grupos de investigación institucionales</t>
  </si>
  <si>
    <t>TOTAL EJE NO. 2 GESTIÓN DE LA INVESTIGACIÓN CIENTÍFICA, TECNOLÓGICA E INNOVACIÓN</t>
  </si>
  <si>
    <t xml:space="preserve">EJE NO. 3 CALIDAD EDUCATIVA Y VINCULACIÓN CON EL ENTORNO </t>
  </si>
  <si>
    <t>PROGRAMA 3.1. GESTIÓN DE LA CALIDAD EDUCATIVA</t>
  </si>
  <si>
    <t>3.1.1 Consolidación del Sistema Interno de Aseguramiento de la Calidad  (SIAC)</t>
  </si>
  <si>
    <t>3.1.1. Consolidación del Sistema Interno de Aseguramiento de la Calidad  (SIAC)</t>
  </si>
  <si>
    <t>3.1.2  Gestión de la acreditación en alta calidad institucional y de programas académicos.</t>
  </si>
  <si>
    <t>PROGRAMA 3.2. GESTIÓN DE LA EXTENSIÓN Y LA PROYECCIÓN SOCIAL</t>
  </si>
  <si>
    <t>3.2.1 Consolidación del Consultorio Institucional (Plan de Mejoramiento Institucional)</t>
  </si>
  <si>
    <t xml:space="preserve">3.2.1. Fortalecimiento de las diferentes formas de Extensión </t>
  </si>
  <si>
    <t>3.2.3 Fortalecimiento de la gestión de la educación continua.</t>
  </si>
  <si>
    <t>3.2.4 Consolidación de la unidad de proyectos especiales para la generación de recursos  (Plan de Mejoramiento Institucional)</t>
  </si>
  <si>
    <t>3.2.2 Implementación del modelo de gestión de graduados (Plan de Mejoramiento Institucional)</t>
  </si>
  <si>
    <t xml:space="preserve">3.2.2. Implementación del modelo de gestión de graduados </t>
  </si>
  <si>
    <t>3.2.6 Ejecución de estudios de protección del patrimonio material e inmaterial</t>
  </si>
  <si>
    <t>3.2.3. Ejecución de estudios de protección del patrimonio material e inmaterial</t>
  </si>
  <si>
    <t>PROGRAMA 3.3. GESTIÓN DE LA INTERNACIONALIZACIÓN</t>
  </si>
  <si>
    <t>3.3.1 Fortalecimiento de las estrategias de internacionalización del currículo en los programas académicos (Plan de Mejoramiento Institucional)</t>
  </si>
  <si>
    <t xml:space="preserve">3.3.1. Fortalecimiento de las estrategias de internacionalización del currículo en los programas académicos </t>
  </si>
  <si>
    <t>3.3.2 Fortalecimiento de la movilidad  académica en sus diferentes modalidades (Plan de Mejoramiento Institucional)</t>
  </si>
  <si>
    <t xml:space="preserve">3.3.2. Fortalecimiento de la movilidad  académica en sus diferentes modalidades </t>
  </si>
  <si>
    <t>3.3.3 Gestión de la transferencia de conocimiento a través de eventos de alto impacto nacionales e internacionales</t>
  </si>
  <si>
    <t xml:space="preserve">3.3.3. Fortalecimiento del relacionamiento y posicionamiento nacional e internacional de la institución </t>
  </si>
  <si>
    <t>3.3.4 Fortalecimiento del relacionamiento y posicionamiento nacional e internacional de la institución (Plan de Mejoramiento Institucional)</t>
  </si>
  <si>
    <t>PROGRAMA 3.4. IDENTIDAD, COMUNICACIÓN, MERCADEO Y RELACIONES PUBLICAS</t>
  </si>
  <si>
    <t xml:space="preserve">3.4.1 Fortalecimiento del Plan Estratégico de Comunicaciones </t>
  </si>
  <si>
    <t>3.4.3. Fortalecimiento del Plan Estratégico de Comunicaciones </t>
  </si>
  <si>
    <t>3.4.2 Gestión de las relaciones institucionales</t>
  </si>
  <si>
    <t xml:space="preserve">3.4.3 Fortalecimiento de la política de mercadeo institucional  </t>
  </si>
  <si>
    <t xml:space="preserve">3.4.2. Fortalecimiento de la política de mercadeo institucional </t>
  </si>
  <si>
    <t xml:space="preserve">TOTAL EJE NO. 3 CALIDAD EDUCATIVA Y VINCULACIÓN CON EL ENTORNO </t>
  </si>
  <si>
    <t xml:space="preserve">EJE NO. 4 DESARROLLO HUMANO Y ORGANIZACIONAL </t>
  </si>
  <si>
    <t>PROGRAMA 4.1. GESTION DEL BIENESTAR INSTITUCIONAL</t>
  </si>
  <si>
    <t xml:space="preserve">TOTAL </t>
  </si>
  <si>
    <t>4.1.1 Actualización de la política de Bienestar Institucional</t>
  </si>
  <si>
    <t>4.1.1. Consolidación de las áreas de Bienestar Institucional</t>
  </si>
  <si>
    <t>4.1.4 Fortalecimiento de las acciones de  prevención y promoción.</t>
  </si>
  <si>
    <t>4.1.5 Fortalecimiento de las estrategias culturales y deportivas insitucionales.</t>
  </si>
  <si>
    <t>4.1.6 Fortalecimiento de los apoyos socioeconómicos Institucionales.</t>
  </si>
  <si>
    <t>4.1.3 Fortalecimiento de las estrategias de la Educacion inclusiva</t>
  </si>
  <si>
    <t>4.1.2 Fortalecimiento de las estrategias de la Educacion inclusiva</t>
  </si>
  <si>
    <r>
      <t>4.1.7. Fortalecimiento del Plan Institucional de Capacitación</t>
    </r>
    <r>
      <rPr>
        <sz val="16"/>
        <color rgb="FF000000"/>
        <rFont val="Aptos"/>
        <family val="2"/>
      </rPr>
      <t>​</t>
    </r>
  </si>
  <si>
    <t>4.1.3. Desarrollo del Talento Humano</t>
  </si>
  <si>
    <t>4.1.8. Fortalecimiento del Plan de bienestar e incentivos laboral institucional</t>
  </si>
  <si>
    <r>
      <t>4.2.4. Fortalecimiento del Sistema de Seguridad y Salud en el Trabajo</t>
    </r>
    <r>
      <rPr>
        <sz val="16"/>
        <color rgb="FF000000"/>
        <rFont val="Aptos"/>
        <family val="2"/>
      </rPr>
      <t>​</t>
    </r>
  </si>
  <si>
    <t xml:space="preserve">TOTALES </t>
  </si>
  <si>
    <t xml:space="preserve">PROGRAMA 4.2. LA IUE TERRITORIO INTELIGENTE Y ECOLOGICAMANTE RESPONSABLE </t>
  </si>
  <si>
    <r>
      <t>4.3.4. Modernización de la infraestructura tecnológica</t>
    </r>
    <r>
      <rPr>
        <sz val="16"/>
        <color rgb="FF000000"/>
        <rFont val="Aptos"/>
        <family val="2"/>
      </rPr>
      <t>​</t>
    </r>
  </si>
  <si>
    <t>4.2.1. Modernización de la infraestructura física y tecnológica</t>
  </si>
  <si>
    <r>
      <t>4.3.1. Fortalecimiento de la infraestructura física institucional</t>
    </r>
    <r>
      <rPr>
        <sz val="16"/>
        <color rgb="FF000000"/>
        <rFont val="Aptos"/>
        <family val="2"/>
      </rPr>
      <t>​</t>
    </r>
  </si>
  <si>
    <r>
      <t>4.2.7 Fortalecimiento de la Gestión Documental</t>
    </r>
    <r>
      <rPr>
        <sz val="16"/>
        <rFont val="Aptos"/>
        <family val="2"/>
      </rPr>
      <t>​</t>
    </r>
  </si>
  <si>
    <t>4.2.2. Transformación de la gestión ambiental y documental</t>
  </si>
  <si>
    <r>
      <t>4.2.5. Consolidación de la IUE como territorio inteligente y ecológicamente responsable</t>
    </r>
    <r>
      <rPr>
        <sz val="16"/>
        <color rgb="FF000000"/>
        <rFont val="Aptos"/>
        <family val="2"/>
      </rPr>
      <t>​</t>
    </r>
  </si>
  <si>
    <r>
      <t>4.3.3. Consolidación del modelo de Infraestructura y gobernanza de datos</t>
    </r>
    <r>
      <rPr>
        <sz val="16"/>
        <color rgb="FF000000"/>
        <rFont val="Aptos"/>
        <family val="2"/>
      </rPr>
      <t>​</t>
    </r>
  </si>
  <si>
    <t>4.2.3. Consolidación de un sistema integrado de información institucional (PM)</t>
  </si>
  <si>
    <r>
      <t>4.3.2. Desarrollo de un sistema integrado de información institucional</t>
    </r>
    <r>
      <rPr>
        <sz val="16"/>
        <color rgb="FF000000"/>
        <rFont val="Aptos"/>
        <family val="2"/>
      </rPr>
      <t>​</t>
    </r>
  </si>
  <si>
    <t>4.2.6. Implementación del observatorio institucional</t>
  </si>
  <si>
    <r>
      <t>4.2.4. Implementación del observatorio institucional (PM)</t>
    </r>
    <r>
      <rPr>
        <sz val="16"/>
        <color rgb="FF000000"/>
        <rFont val="Aptos"/>
        <family val="2"/>
      </rPr>
      <t>​</t>
    </r>
  </si>
  <si>
    <t xml:space="preserve">TOTAL EJE NO. 4 DESARROLLO HUMANO Y ORGANIZACIONAL </t>
  </si>
  <si>
    <t>4.2.1 Implementación de la reestructuración académica - administrativa institucional​</t>
  </si>
  <si>
    <t xml:space="preserve">SE PRESUPUESTA POR GASTOS DE  FUNCIONAMIENTO </t>
  </si>
  <si>
    <t>CLASE</t>
  </si>
  <si>
    <t>PROGAMA</t>
  </si>
  <si>
    <t>INDICADOR</t>
  </si>
  <si>
    <t>PROSPECTIVA</t>
  </si>
  <si>
    <t>TIPO</t>
  </si>
  <si>
    <t>META</t>
  </si>
  <si>
    <t>VIGENCIA</t>
  </si>
  <si>
    <t xml:space="preserve">1. Impacto </t>
  </si>
  <si>
    <t>1. GESTIÓN DEL DESARROLLO ACADÉMICO ​</t>
  </si>
  <si>
    <t>N/A</t>
  </si>
  <si>
    <t>2. GESTIÓN DE LA INVESTIGACIÓN CIENTÍFICA, TECNOLÓGICA E INNOVACIÓN​</t>
  </si>
  <si>
    <t>3. CALIDAD EDUCATIVA Y VINCULACIÓN CON EL ENTORNO</t>
  </si>
  <si>
    <t>4. DESARROLLO HUMANO ​Y ORGANIZACIONAL​</t>
  </si>
  <si>
    <t>2. Resultado</t>
  </si>
  <si>
    <t xml:space="preserve">1.2.​ REGIÓN DIGITAL </t>
  </si>
  <si>
    <t>2.1. ​ARTICULACIÓN DE LA GESTIÓN INVESTIGATIVA</t>
  </si>
  <si>
    <t>2.2.​ DESARROLLO DE LA INVESTIGACIÓN CIENTÍFICA​</t>
  </si>
  <si>
    <t>2.3. ​GESTIÓN DE LA DIVULGACIÓN, TRANSFERENCIA ​Y APROPIACIÓN SOCIAL DEL CONOCIMIENTO​</t>
  </si>
  <si>
    <t>3.1. ​GESTIÓN DE LA CALIDAD EDUCATIVA</t>
  </si>
  <si>
    <t>3.2. GESTIÓN DE LA EXTENSIÓN Y LA PROYECCIÓN SOCIAL​</t>
  </si>
  <si>
    <t>3.3. ​GESTIÓN DE LA INTERNACIONALIZACIÓN​</t>
  </si>
  <si>
    <t>3.4.​ IDENTIDAD, COMUNICACIÓN, MERCADEO Y RELACIONES PUBLICAS.​</t>
  </si>
  <si>
    <t>4.1. ​GESTIÓN DEL BIENESTAR INSTITUCIONAL​</t>
  </si>
  <si>
    <t>4.2. ​GESTIÓN ADMINISTRATIVA​</t>
  </si>
  <si>
    <t>4.3. ​GESTIÓN DE INFRAESTRUCTURA​</t>
  </si>
  <si>
    <t>3. Cumplimiento</t>
  </si>
  <si>
    <t xml:space="preserve">Anual </t>
  </si>
  <si>
    <t xml:space="preserve">Mantenimiento </t>
  </si>
  <si>
    <t xml:space="preserve">Número de espacios adecuados pafra el bienestar universitario </t>
  </si>
  <si>
    <t xml:space="preserve">Número de actividades para el acercamiento a la vida universitaria </t>
  </si>
  <si>
    <t xml:space="preserve">Numero de estudiante que ingresan al SEA / estudiantes que continuan su proceso academico </t>
  </si>
  <si>
    <t>Servicios del área de desarrollo humano IUE</t>
  </si>
  <si>
    <t>Documento con diagnostico de barreras para la inclusion educativa</t>
  </si>
  <si>
    <t xml:space="preserve">Equipamiento institucional para la poblacion en situacion de discapacidad o necesidades educativas diversas </t>
  </si>
  <si>
    <t>Número de personas capacitadas en  temas de enfoque diferencial e inclusion</t>
  </si>
  <si>
    <t>Semestral</t>
  </si>
  <si>
    <t xml:space="preserve">Número de actividades realizadas para el fortalecimiento de la promocion y prevencion de la IUE </t>
  </si>
  <si>
    <t xml:space="preserve">Documento de caracterizacion de la poblacion y los servicios de salud en la IUE </t>
  </si>
  <si>
    <t xml:space="preserve">Número de estrategias de devulgacion para el fortalecimiento y de los procesos socioecnomicos </t>
  </si>
  <si>
    <t>4.2.1. Implementación de la reestructuración académica - administrativa institucional​</t>
  </si>
  <si>
    <t>4.2.2. Fortalecimiento del Sistema de Seguridad y Salud en el Trabajo</t>
  </si>
  <si>
    <t>4.2.3. Consolidación de la IUE como territorio inteligente y ecológicamente responsable​</t>
  </si>
  <si>
    <t>Documento modelo territorios inteligentes</t>
  </si>
  <si>
    <t>Anual</t>
  </si>
  <si>
    <t>% Cumplimiento al PIGA</t>
  </si>
  <si>
    <t>Variación del consumo de agua en m³ por periodo</t>
  </si>
  <si>
    <t>Variación del consumo de energía (kWh)</t>
  </si>
  <si>
    <t>Cantidad de residuos RAEE gestionados adecuadamente en kg</t>
  </si>
  <si>
    <t>500 Kg</t>
  </si>
  <si>
    <t>125 Kg</t>
  </si>
  <si>
    <t xml:space="preserve">Cantidad de residuos orgánicos gestionados adecuadamente en kg </t>
  </si>
  <si>
    <t>1500 Kg</t>
  </si>
  <si>
    <t>300 Kg</t>
  </si>
  <si>
    <t xml:space="preserve">Cantidad de material reciclado gestionado adecuadamente en kg </t>
  </si>
  <si>
    <t>4400 kg</t>
  </si>
  <si>
    <t>1000 Kg</t>
  </si>
  <si>
    <t>% de cumplimiento del mantenimiento y restauración de jardines y zonas verdes</t>
  </si>
  <si>
    <t xml:space="preserve">Reglamento del Obsevatorio Institucional Diseñado e implementado </t>
  </si>
  <si>
    <t>Productos del observatorio institucional publicados</t>
  </si>
  <si>
    <t>Acumulado</t>
  </si>
  <si>
    <t>4.2.5 Fortalecimiento de la Gestión Documental​</t>
  </si>
  <si>
    <t>4.3.1. Fortalecimiento de la infraestructura física institucional​</t>
  </si>
  <si>
    <t>4.3.2. Desarrollo de un sistema integrado de información institucional​</t>
  </si>
  <si>
    <t>4.3.3. Consolidación del modelo de Infraestructura y gobernanza de dato</t>
  </si>
  <si>
    <t>4.3.4. Modernización de la infraestructura tecnológica​</t>
  </si>
  <si>
    <t>Cumplimiento del PETI</t>
  </si>
  <si>
    <t>-</t>
  </si>
  <si>
    <t>Estrategias institucionales implementadas para el relacionamiento, cooperación académica y científica</t>
  </si>
  <si>
    <t>Estudios sobre patrimonio material e inmaterial realizados</t>
  </si>
  <si>
    <t>Sistema de información académico actualizado</t>
  </si>
  <si>
    <t>Implementación del modelo de Infraestructura y Gobernanza de Datos</t>
  </si>
  <si>
    <t>Consultas de recursos bibliográficos digitales realizadas</t>
  </si>
  <si>
    <t>Free Press generado por la Oficina de Comunicaciones y Relaciones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</si>
</sst>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[$$-240A]\ * #,##0_-;\-[$$-240A]\ * #,##0_-;_-[$$-240A]\ * &quot;-&quot;??_-;_-@_-"/>
    <numFmt numFmtId="165" formatCode="#,##0.000000"/>
    <numFmt numFmtId="166" formatCode="_-&quot;$&quot;\ * #,##0_-;\-&quot;$&quot;\ * #,##0_-;_-&quot;$&quot;\ * &quot;-&quot;??_-;_-@_-"/>
    <numFmt numFmtId="167" formatCode="&quot;$&quot;#,##0"/>
    <numFmt numFmtId="168" formatCode="&quot;$&quot;#,##0.00"/>
    <numFmt numFmtId="169" formatCode="0.0%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  <font>
      <sz val="10"/>
      <name val="Arial"/>
      <family val="2"/>
    </font>
    <font>
      <b/>
      <sz val="8"/>
      <color theme="0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b/>
      <sz val="11"/>
      <color theme="1"/>
      <name val="Aptos Narrow"/>
      <family val="2"/>
      <scheme val="minor"/>
    </font>
    <font>
      <sz val="11"/>
      <color theme="8" tint="-0.249977111117893"/>
      <name val="Aptos Narrow"/>
      <family val="2"/>
      <scheme val="minor"/>
    </font>
    <font>
      <sz val="16"/>
      <color rgb="FF000000"/>
      <name val="Aptos"/>
      <family val="2"/>
    </font>
    <font>
      <sz val="16"/>
      <name val="Aptos"/>
      <family val="2"/>
    </font>
    <font>
      <b/>
      <sz val="10"/>
      <color rgb="FF000000"/>
      <name val="Tahoma"/>
      <family val="2"/>
    </font>
    <font>
      <sz val="9"/>
      <color rgb="FF00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5B9D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30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/>
    <xf numFmtId="9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9" fontId="0" fillId="4" borderId="1" xfId="0" applyNumberFormat="1" applyFill="1" applyBorder="1" applyAlignment="1">
      <alignment horizontal="center" vertical="center"/>
    </xf>
    <xf numFmtId="1" fontId="0" fillId="0" borderId="1" xfId="1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6" fillId="9" borderId="2" xfId="3" applyFont="1" applyFill="1" applyBorder="1" applyAlignment="1">
      <alignment horizontal="center" textRotation="90"/>
    </xf>
    <xf numFmtId="49" fontId="6" fillId="9" borderId="2" xfId="3" applyNumberFormat="1" applyFont="1" applyFill="1" applyBorder="1" applyAlignment="1">
      <alignment horizontal="center" textRotation="90"/>
    </xf>
    <xf numFmtId="0" fontId="6" fillId="9" borderId="2" xfId="0" applyFont="1" applyFill="1" applyBorder="1" applyAlignment="1">
      <alignment horizontal="center" vertical="center"/>
    </xf>
    <xf numFmtId="164" fontId="6" fillId="9" borderId="2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10" fontId="6" fillId="9" borderId="2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textRotation="90"/>
    </xf>
    <xf numFmtId="49" fontId="8" fillId="0" borderId="2" xfId="0" applyNumberFormat="1" applyFont="1" applyBorder="1" applyAlignment="1">
      <alignment horizontal="center" vertical="center" textRotation="90"/>
    </xf>
    <xf numFmtId="164" fontId="9" fillId="0" borderId="2" xfId="3" applyNumberFormat="1" applyFont="1" applyBorder="1" applyAlignment="1">
      <alignment horizontal="left" vertical="center"/>
    </xf>
    <xf numFmtId="164" fontId="7" fillId="0" borderId="2" xfId="0" applyNumberFormat="1" applyFont="1" applyBorder="1" applyAlignment="1">
      <alignment horizontal="center" vertical="center"/>
    </xf>
    <xf numFmtId="10" fontId="7" fillId="0" borderId="2" xfId="1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left" vertical="center"/>
    </xf>
    <xf numFmtId="3" fontId="7" fillId="10" borderId="2" xfId="0" applyNumberFormat="1" applyFont="1" applyFill="1" applyBorder="1" applyAlignment="1">
      <alignment horizontal="center" vertical="center"/>
    </xf>
    <xf numFmtId="49" fontId="7" fillId="10" borderId="2" xfId="0" applyNumberFormat="1" applyFont="1" applyFill="1" applyBorder="1" applyAlignment="1">
      <alignment horizontal="center" vertical="center"/>
    </xf>
    <xf numFmtId="165" fontId="7" fillId="10" borderId="2" xfId="0" applyNumberFormat="1" applyFont="1" applyFill="1" applyBorder="1" applyAlignment="1">
      <alignment horizontal="left" vertical="center"/>
    </xf>
    <xf numFmtId="10" fontId="7" fillId="10" borderId="2" xfId="1" applyNumberFormat="1" applyFont="1" applyFill="1" applyBorder="1" applyAlignment="1">
      <alignment horizontal="center" vertical="center"/>
    </xf>
    <xf numFmtId="164" fontId="7" fillId="10" borderId="2" xfId="0" applyNumberFormat="1" applyFont="1" applyFill="1" applyBorder="1" applyAlignment="1">
      <alignment horizontal="left" vertical="center"/>
    </xf>
    <xf numFmtId="3" fontId="7" fillId="6" borderId="2" xfId="0" applyNumberFormat="1" applyFont="1" applyFill="1" applyBorder="1" applyAlignment="1">
      <alignment horizontal="center" vertical="center"/>
    </xf>
    <xf numFmtId="49" fontId="7" fillId="6" borderId="2" xfId="0" applyNumberFormat="1" applyFont="1" applyFill="1" applyBorder="1" applyAlignment="1">
      <alignment horizontal="center" vertical="center"/>
    </xf>
    <xf numFmtId="3" fontId="7" fillId="6" borderId="2" xfId="0" applyNumberFormat="1" applyFont="1" applyFill="1" applyBorder="1" applyAlignment="1">
      <alignment horizontal="left" vertical="center"/>
    </xf>
    <xf numFmtId="165" fontId="7" fillId="6" borderId="2" xfId="0" applyNumberFormat="1" applyFont="1" applyFill="1" applyBorder="1" applyAlignment="1">
      <alignment horizontal="left" vertical="center"/>
    </xf>
    <xf numFmtId="10" fontId="7" fillId="6" borderId="2" xfId="1" applyNumberFormat="1" applyFont="1" applyFill="1" applyBorder="1" applyAlignment="1">
      <alignment horizontal="center" vertical="center"/>
    </xf>
    <xf numFmtId="164" fontId="7" fillId="6" borderId="2" xfId="2" applyNumberFormat="1" applyFont="1" applyFill="1" applyBorder="1" applyAlignment="1">
      <alignment horizontal="left" vertical="center"/>
    </xf>
    <xf numFmtId="3" fontId="7" fillId="7" borderId="2" xfId="0" applyNumberFormat="1" applyFont="1" applyFill="1" applyBorder="1" applyAlignment="1">
      <alignment horizontal="center" vertical="center"/>
    </xf>
    <xf numFmtId="49" fontId="7" fillId="7" borderId="2" xfId="0" applyNumberFormat="1" applyFont="1" applyFill="1" applyBorder="1" applyAlignment="1">
      <alignment horizontal="center" vertical="center"/>
    </xf>
    <xf numFmtId="3" fontId="7" fillId="7" borderId="2" xfId="0" applyNumberFormat="1" applyFont="1" applyFill="1" applyBorder="1" applyAlignment="1">
      <alignment horizontal="left" vertical="center"/>
    </xf>
    <xf numFmtId="165" fontId="8" fillId="7" borderId="2" xfId="0" applyNumberFormat="1" applyFont="1" applyFill="1" applyBorder="1" applyAlignment="1">
      <alignment horizontal="left" vertical="center"/>
    </xf>
    <xf numFmtId="10" fontId="7" fillId="7" borderId="2" xfId="1" applyNumberFormat="1" applyFont="1" applyFill="1" applyBorder="1" applyAlignment="1">
      <alignment horizontal="center" vertical="center"/>
    </xf>
    <xf numFmtId="164" fontId="7" fillId="7" borderId="2" xfId="2" applyNumberFormat="1" applyFont="1" applyFill="1" applyBorder="1" applyAlignment="1">
      <alignment horizontal="left" vertical="center"/>
    </xf>
    <xf numFmtId="10" fontId="9" fillId="0" borderId="2" xfId="1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" fontId="8" fillId="0" borderId="2" xfId="3" applyNumberFormat="1" applyFont="1" applyBorder="1" applyAlignment="1">
      <alignment horizontal="center" vertical="center"/>
    </xf>
    <xf numFmtId="10" fontId="8" fillId="0" borderId="2" xfId="1" applyNumberFormat="1" applyFont="1" applyFill="1" applyBorder="1" applyAlignment="1">
      <alignment horizontal="center" vertical="center"/>
    </xf>
    <xf numFmtId="164" fontId="8" fillId="0" borderId="2" xfId="3" applyNumberFormat="1" applyFont="1" applyBorder="1" applyAlignment="1">
      <alignment horizontal="left" vertical="center"/>
    </xf>
    <xf numFmtId="0" fontId="10" fillId="0" borderId="2" xfId="3" applyFont="1" applyBorder="1" applyAlignment="1">
      <alignment horizontal="left" vertical="center"/>
    </xf>
    <xf numFmtId="0" fontId="11" fillId="0" borderId="2" xfId="3" applyFont="1" applyBorder="1" applyAlignment="1">
      <alignment horizontal="center" vertical="center"/>
    </xf>
    <xf numFmtId="10" fontId="8" fillId="0" borderId="2" xfId="1" applyNumberFormat="1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10" fontId="10" fillId="0" borderId="2" xfId="1" applyNumberFormat="1" applyFont="1" applyFill="1" applyBorder="1" applyAlignment="1">
      <alignment horizontal="center" vertical="center"/>
    </xf>
    <xf numFmtId="164" fontId="10" fillId="0" borderId="2" xfId="3" applyNumberFormat="1" applyFont="1" applyBorder="1" applyAlignment="1">
      <alignment horizontal="left" vertical="center"/>
    </xf>
    <xf numFmtId="4" fontId="10" fillId="0" borderId="2" xfId="3" applyNumberFormat="1" applyFont="1" applyBorder="1" applyAlignment="1">
      <alignment horizontal="center" vertical="center"/>
    </xf>
    <xf numFmtId="10" fontId="10" fillId="0" borderId="2" xfId="1" applyNumberFormat="1" applyFont="1" applyBorder="1" applyAlignment="1">
      <alignment horizontal="center" vertical="center"/>
    </xf>
    <xf numFmtId="4" fontId="8" fillId="7" borderId="2" xfId="0" applyNumberFormat="1" applyFont="1" applyFill="1" applyBorder="1" applyAlignment="1">
      <alignment horizontal="center" vertical="center"/>
    </xf>
    <xf numFmtId="4" fontId="7" fillId="6" borderId="2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horizontal="left" vertical="center"/>
    </xf>
    <xf numFmtId="3" fontId="7" fillId="11" borderId="2" xfId="0" applyNumberFormat="1" applyFont="1" applyFill="1" applyBorder="1" applyAlignment="1">
      <alignment horizontal="center" vertical="center"/>
    </xf>
    <xf numFmtId="49" fontId="7" fillId="11" borderId="2" xfId="0" applyNumberFormat="1" applyFont="1" applyFill="1" applyBorder="1" applyAlignment="1">
      <alignment horizontal="center" vertical="center"/>
    </xf>
    <xf numFmtId="3" fontId="7" fillId="11" borderId="2" xfId="0" applyNumberFormat="1" applyFont="1" applyFill="1" applyBorder="1" applyAlignment="1">
      <alignment horizontal="left" vertical="center"/>
    </xf>
    <xf numFmtId="4" fontId="7" fillId="11" borderId="2" xfId="0" applyNumberFormat="1" applyFont="1" applyFill="1" applyBorder="1" applyAlignment="1">
      <alignment horizontal="center" vertical="center"/>
    </xf>
    <xf numFmtId="10" fontId="7" fillId="11" borderId="2" xfId="1" applyNumberFormat="1" applyFont="1" applyFill="1" applyBorder="1" applyAlignment="1">
      <alignment horizontal="center" vertical="center"/>
    </xf>
    <xf numFmtId="164" fontId="9" fillId="11" borderId="2" xfId="3" applyNumberFormat="1" applyFont="1" applyFill="1" applyBorder="1" applyAlignment="1">
      <alignment horizontal="left" vertical="center"/>
    </xf>
    <xf numFmtId="3" fontId="7" fillId="0" borderId="0" xfId="0" applyNumberFormat="1" applyFont="1" applyAlignment="1">
      <alignment horizontal="left" vertical="center"/>
    </xf>
    <xf numFmtId="3" fontId="7" fillId="12" borderId="2" xfId="0" applyNumberFormat="1" applyFont="1" applyFill="1" applyBorder="1" applyAlignment="1">
      <alignment horizontal="center" vertical="center"/>
    </xf>
    <xf numFmtId="49" fontId="7" fillId="12" borderId="2" xfId="0" applyNumberFormat="1" applyFont="1" applyFill="1" applyBorder="1" applyAlignment="1">
      <alignment horizontal="center" vertical="center"/>
    </xf>
    <xf numFmtId="3" fontId="7" fillId="12" borderId="2" xfId="0" applyNumberFormat="1" applyFont="1" applyFill="1" applyBorder="1" applyAlignment="1">
      <alignment horizontal="left" vertical="center"/>
    </xf>
    <xf numFmtId="4" fontId="7" fillId="12" borderId="2" xfId="0" applyNumberFormat="1" applyFont="1" applyFill="1" applyBorder="1" applyAlignment="1">
      <alignment horizontal="center" vertical="center"/>
    </xf>
    <xf numFmtId="10" fontId="7" fillId="12" borderId="2" xfId="1" applyNumberFormat="1" applyFont="1" applyFill="1" applyBorder="1" applyAlignment="1">
      <alignment horizontal="center" vertical="center"/>
    </xf>
    <xf numFmtId="164" fontId="9" fillId="12" borderId="2" xfId="3" applyNumberFormat="1" applyFont="1" applyFill="1" applyBorder="1" applyAlignment="1">
      <alignment horizontal="left" vertical="center"/>
    </xf>
    <xf numFmtId="3" fontId="7" fillId="13" borderId="2" xfId="0" applyNumberFormat="1" applyFont="1" applyFill="1" applyBorder="1" applyAlignment="1">
      <alignment horizontal="center" vertical="center"/>
    </xf>
    <xf numFmtId="49" fontId="7" fillId="13" borderId="2" xfId="0" applyNumberFormat="1" applyFont="1" applyFill="1" applyBorder="1" applyAlignment="1">
      <alignment horizontal="center" vertical="center"/>
    </xf>
    <xf numFmtId="3" fontId="7" fillId="13" borderId="2" xfId="0" applyNumberFormat="1" applyFont="1" applyFill="1" applyBorder="1" applyAlignment="1">
      <alignment horizontal="left" vertical="center"/>
    </xf>
    <xf numFmtId="4" fontId="7" fillId="13" borderId="2" xfId="0" applyNumberFormat="1" applyFont="1" applyFill="1" applyBorder="1" applyAlignment="1">
      <alignment horizontal="center" vertical="center"/>
    </xf>
    <xf numFmtId="10" fontId="7" fillId="13" borderId="2" xfId="1" applyNumberFormat="1" applyFont="1" applyFill="1" applyBorder="1" applyAlignment="1">
      <alignment horizontal="center" vertical="center"/>
    </xf>
    <xf numFmtId="164" fontId="9" fillId="13" borderId="2" xfId="3" applyNumberFormat="1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3" fontId="7" fillId="14" borderId="2" xfId="0" applyNumberFormat="1" applyFont="1" applyFill="1" applyBorder="1" applyAlignment="1">
      <alignment horizontal="center" vertical="center"/>
    </xf>
    <xf numFmtId="49" fontId="7" fillId="14" borderId="2" xfId="0" applyNumberFormat="1" applyFont="1" applyFill="1" applyBorder="1" applyAlignment="1">
      <alignment horizontal="center" vertical="center"/>
    </xf>
    <xf numFmtId="3" fontId="7" fillId="14" borderId="2" xfId="0" applyNumberFormat="1" applyFont="1" applyFill="1" applyBorder="1" applyAlignment="1">
      <alignment horizontal="left" vertical="center"/>
    </xf>
    <xf numFmtId="4" fontId="7" fillId="14" borderId="2" xfId="0" applyNumberFormat="1" applyFont="1" applyFill="1" applyBorder="1" applyAlignment="1">
      <alignment horizontal="center" vertical="center"/>
    </xf>
    <xf numFmtId="10" fontId="7" fillId="14" borderId="2" xfId="1" applyNumberFormat="1" applyFont="1" applyFill="1" applyBorder="1" applyAlignment="1">
      <alignment horizontal="center" vertical="center"/>
    </xf>
    <xf numFmtId="164" fontId="7" fillId="14" borderId="2" xfId="0" applyNumberFormat="1" applyFont="1" applyFill="1" applyBorder="1" applyAlignment="1">
      <alignment horizontal="left" vertical="center"/>
    </xf>
    <xf numFmtId="3" fontId="7" fillId="15" borderId="2" xfId="0" applyNumberFormat="1" applyFont="1" applyFill="1" applyBorder="1" applyAlignment="1">
      <alignment horizontal="center" vertical="center"/>
    </xf>
    <xf numFmtId="49" fontId="7" fillId="15" borderId="2" xfId="0" applyNumberFormat="1" applyFont="1" applyFill="1" applyBorder="1" applyAlignment="1">
      <alignment horizontal="center" vertical="center"/>
    </xf>
    <xf numFmtId="165" fontId="7" fillId="15" borderId="2" xfId="0" applyNumberFormat="1" applyFont="1" applyFill="1" applyBorder="1" applyAlignment="1">
      <alignment horizontal="left" vertical="center"/>
    </xf>
    <xf numFmtId="165" fontId="7" fillId="15" borderId="2" xfId="0" applyNumberFormat="1" applyFont="1" applyFill="1" applyBorder="1" applyAlignment="1">
      <alignment horizontal="center" vertical="center"/>
    </xf>
    <xf numFmtId="4" fontId="7" fillId="15" borderId="2" xfId="0" applyNumberFormat="1" applyFont="1" applyFill="1" applyBorder="1" applyAlignment="1">
      <alignment horizontal="center" vertical="center"/>
    </xf>
    <xf numFmtId="10" fontId="7" fillId="15" borderId="2" xfId="1" applyNumberFormat="1" applyFont="1" applyFill="1" applyBorder="1" applyAlignment="1">
      <alignment horizontal="center" vertical="center"/>
    </xf>
    <xf numFmtId="164" fontId="7" fillId="15" borderId="2" xfId="0" applyNumberFormat="1" applyFont="1" applyFill="1" applyBorder="1" applyAlignment="1">
      <alignment horizontal="left" vertical="center"/>
    </xf>
    <xf numFmtId="3" fontId="7" fillId="16" borderId="2" xfId="0" applyNumberFormat="1" applyFont="1" applyFill="1" applyBorder="1" applyAlignment="1">
      <alignment horizontal="center" vertical="center"/>
    </xf>
    <xf numFmtId="49" fontId="7" fillId="16" borderId="2" xfId="0" applyNumberFormat="1" applyFont="1" applyFill="1" applyBorder="1" applyAlignment="1">
      <alignment horizontal="center" vertical="center"/>
    </xf>
    <xf numFmtId="165" fontId="7" fillId="16" borderId="2" xfId="0" applyNumberFormat="1" applyFont="1" applyFill="1" applyBorder="1" applyAlignment="1">
      <alignment horizontal="left" vertical="center"/>
    </xf>
    <xf numFmtId="165" fontId="7" fillId="16" borderId="2" xfId="0" applyNumberFormat="1" applyFont="1" applyFill="1" applyBorder="1" applyAlignment="1">
      <alignment horizontal="center" vertical="center"/>
    </xf>
    <xf numFmtId="4" fontId="7" fillId="16" borderId="2" xfId="0" applyNumberFormat="1" applyFont="1" applyFill="1" applyBorder="1" applyAlignment="1">
      <alignment horizontal="center" vertical="center"/>
    </xf>
    <xf numFmtId="10" fontId="7" fillId="16" borderId="2" xfId="1" applyNumberFormat="1" applyFont="1" applyFill="1" applyBorder="1" applyAlignment="1">
      <alignment horizontal="center" vertical="center"/>
    </xf>
    <xf numFmtId="164" fontId="7" fillId="16" borderId="2" xfId="0" applyNumberFormat="1" applyFont="1" applyFill="1" applyBorder="1" applyAlignment="1">
      <alignment horizontal="left" vertical="center"/>
    </xf>
    <xf numFmtId="3" fontId="7" fillId="17" borderId="2" xfId="0" applyNumberFormat="1" applyFont="1" applyFill="1" applyBorder="1" applyAlignment="1">
      <alignment horizontal="center" vertical="center"/>
    </xf>
    <xf numFmtId="49" fontId="7" fillId="17" borderId="2" xfId="0" applyNumberFormat="1" applyFont="1" applyFill="1" applyBorder="1" applyAlignment="1">
      <alignment horizontal="center" vertical="center"/>
    </xf>
    <xf numFmtId="3" fontId="7" fillId="17" borderId="2" xfId="0" applyNumberFormat="1" applyFont="1" applyFill="1" applyBorder="1" applyAlignment="1">
      <alignment horizontal="left" vertical="center"/>
    </xf>
    <xf numFmtId="4" fontId="7" fillId="17" borderId="2" xfId="0" applyNumberFormat="1" applyFont="1" applyFill="1" applyBorder="1" applyAlignment="1">
      <alignment horizontal="center" vertical="center"/>
    </xf>
    <xf numFmtId="10" fontId="7" fillId="17" borderId="2" xfId="1" applyNumberFormat="1" applyFont="1" applyFill="1" applyBorder="1" applyAlignment="1">
      <alignment horizontal="center" vertical="center"/>
    </xf>
    <xf numFmtId="164" fontId="7" fillId="17" borderId="2" xfId="0" applyNumberFormat="1" applyFont="1" applyFill="1" applyBorder="1" applyAlignment="1">
      <alignment horizontal="left" vertical="center"/>
    </xf>
    <xf numFmtId="3" fontId="7" fillId="18" borderId="2" xfId="0" applyNumberFormat="1" applyFont="1" applyFill="1" applyBorder="1" applyAlignment="1">
      <alignment horizontal="center" vertical="center"/>
    </xf>
    <xf numFmtId="49" fontId="7" fillId="18" borderId="2" xfId="0" applyNumberFormat="1" applyFont="1" applyFill="1" applyBorder="1" applyAlignment="1">
      <alignment horizontal="center" vertical="center"/>
    </xf>
    <xf numFmtId="3" fontId="7" fillId="18" borderId="2" xfId="0" applyNumberFormat="1" applyFont="1" applyFill="1" applyBorder="1" applyAlignment="1">
      <alignment horizontal="left" vertical="center"/>
    </xf>
    <xf numFmtId="4" fontId="7" fillId="18" borderId="2" xfId="0" applyNumberFormat="1" applyFont="1" applyFill="1" applyBorder="1" applyAlignment="1">
      <alignment horizontal="center" vertical="center"/>
    </xf>
    <xf numFmtId="10" fontId="7" fillId="18" borderId="2" xfId="1" applyNumberFormat="1" applyFont="1" applyFill="1" applyBorder="1" applyAlignment="1">
      <alignment horizontal="center" vertical="center"/>
    </xf>
    <xf numFmtId="164" fontId="7" fillId="18" borderId="2" xfId="0" applyNumberFormat="1" applyFont="1" applyFill="1" applyBorder="1" applyAlignment="1">
      <alignment horizontal="left" vertical="center"/>
    </xf>
    <xf numFmtId="3" fontId="7" fillId="19" borderId="2" xfId="0" applyNumberFormat="1" applyFont="1" applyFill="1" applyBorder="1" applyAlignment="1">
      <alignment horizontal="center" vertical="center"/>
    </xf>
    <xf numFmtId="49" fontId="7" fillId="19" borderId="2" xfId="0" applyNumberFormat="1" applyFont="1" applyFill="1" applyBorder="1" applyAlignment="1">
      <alignment horizontal="center" vertical="center"/>
    </xf>
    <xf numFmtId="3" fontId="7" fillId="19" borderId="2" xfId="0" applyNumberFormat="1" applyFont="1" applyFill="1" applyBorder="1" applyAlignment="1">
      <alignment horizontal="left" vertical="center"/>
    </xf>
    <xf numFmtId="4" fontId="7" fillId="19" borderId="2" xfId="0" applyNumberFormat="1" applyFont="1" applyFill="1" applyBorder="1" applyAlignment="1">
      <alignment horizontal="center" vertical="center"/>
    </xf>
    <xf numFmtId="10" fontId="7" fillId="19" borderId="2" xfId="1" applyNumberFormat="1" applyFont="1" applyFill="1" applyBorder="1" applyAlignment="1">
      <alignment horizontal="center" vertical="center"/>
    </xf>
    <xf numFmtId="164" fontId="7" fillId="19" borderId="2" xfId="0" applyNumberFormat="1" applyFont="1" applyFill="1" applyBorder="1" applyAlignment="1">
      <alignment horizontal="left" vertical="center"/>
    </xf>
    <xf numFmtId="164" fontId="10" fillId="0" borderId="3" xfId="3" applyNumberFormat="1" applyFont="1" applyBorder="1" applyAlignment="1">
      <alignment horizontal="left" vertical="center"/>
    </xf>
    <xf numFmtId="164" fontId="9" fillId="0" borderId="3" xfId="3" applyNumberFormat="1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10" fontId="8" fillId="0" borderId="0" xfId="1" applyNumberFormat="1" applyFont="1" applyAlignment="1">
      <alignment horizontal="center" vertical="center"/>
    </xf>
    <xf numFmtId="164" fontId="8" fillId="0" borderId="0" xfId="0" applyNumberFormat="1" applyFont="1" applyAlignment="1">
      <alignment horizontal="left" vertical="center"/>
    </xf>
    <xf numFmtId="164" fontId="9" fillId="0" borderId="2" xfId="3" applyNumberFormat="1" applyFont="1" applyBorder="1" applyAlignment="1">
      <alignment horizontal="center" vertical="center"/>
    </xf>
    <xf numFmtId="3" fontId="7" fillId="10" borderId="2" xfId="0" applyNumberFormat="1" applyFont="1" applyFill="1" applyBorder="1" applyAlignment="1">
      <alignment horizontal="center" vertical="center" wrapText="1"/>
    </xf>
    <xf numFmtId="0" fontId="10" fillId="8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49" fontId="8" fillId="5" borderId="2" xfId="0" applyNumberFormat="1" applyFont="1" applyFill="1" applyBorder="1" applyAlignment="1">
      <alignment horizontal="center" vertical="center"/>
    </xf>
    <xf numFmtId="4" fontId="10" fillId="8" borderId="2" xfId="3" applyNumberFormat="1" applyFont="1" applyFill="1" applyBorder="1" applyAlignment="1">
      <alignment horizontal="center" vertical="center"/>
    </xf>
    <xf numFmtId="0" fontId="10" fillId="8" borderId="2" xfId="3" applyFont="1" applyFill="1" applyBorder="1" applyAlignment="1">
      <alignment horizontal="left" vertical="center"/>
    </xf>
    <xf numFmtId="4" fontId="10" fillId="3" borderId="2" xfId="3" applyNumberFormat="1" applyFont="1" applyFill="1" applyBorder="1" applyAlignment="1">
      <alignment horizontal="center" vertical="center"/>
    </xf>
    <xf numFmtId="9" fontId="10" fillId="0" borderId="2" xfId="3" applyNumberFormat="1" applyFont="1" applyBorder="1" applyAlignment="1">
      <alignment horizontal="center" vertical="center"/>
    </xf>
    <xf numFmtId="9" fontId="10" fillId="8" borderId="2" xfId="3" applyNumberFormat="1" applyFont="1" applyFill="1" applyBorder="1" applyAlignment="1">
      <alignment horizontal="center" vertical="center"/>
    </xf>
    <xf numFmtId="0" fontId="9" fillId="8" borderId="2" xfId="3" applyFont="1" applyFill="1" applyBorder="1" applyAlignment="1">
      <alignment horizontal="center" vertical="center"/>
    </xf>
    <xf numFmtId="4" fontId="9" fillId="8" borderId="2" xfId="3" applyNumberFormat="1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/>
    </xf>
    <xf numFmtId="49" fontId="9" fillId="13" borderId="2" xfId="0" applyNumberFormat="1" applyFont="1" applyFill="1" applyBorder="1" applyAlignment="1">
      <alignment horizontal="center" vertical="center"/>
    </xf>
    <xf numFmtId="3" fontId="9" fillId="13" borderId="2" xfId="0" applyNumberFormat="1" applyFont="1" applyFill="1" applyBorder="1" applyAlignment="1">
      <alignment horizontal="left" vertical="center"/>
    </xf>
    <xf numFmtId="49" fontId="9" fillId="16" borderId="2" xfId="0" applyNumberFormat="1" applyFont="1" applyFill="1" applyBorder="1" applyAlignment="1">
      <alignment horizontal="center" vertical="center"/>
    </xf>
    <xf numFmtId="165" fontId="9" fillId="16" borderId="2" xfId="0" applyNumberFormat="1" applyFont="1" applyFill="1" applyBorder="1" applyAlignment="1">
      <alignment horizontal="left" vertical="center"/>
    </xf>
    <xf numFmtId="3" fontId="9" fillId="16" borderId="2" xfId="0" applyNumberFormat="1" applyFont="1" applyFill="1" applyBorder="1" applyAlignment="1">
      <alignment horizontal="center" vertical="center"/>
    </xf>
    <xf numFmtId="165" fontId="9" fillId="16" borderId="2" xfId="0" applyNumberFormat="1" applyFont="1" applyFill="1" applyBorder="1" applyAlignment="1">
      <alignment horizontal="center" vertical="center"/>
    </xf>
    <xf numFmtId="4" fontId="9" fillId="16" borderId="2" xfId="0" applyNumberFormat="1" applyFont="1" applyFill="1" applyBorder="1" applyAlignment="1">
      <alignment horizontal="center" vertical="center"/>
    </xf>
    <xf numFmtId="10" fontId="9" fillId="16" borderId="2" xfId="1" applyNumberFormat="1" applyFont="1" applyFill="1" applyBorder="1" applyAlignment="1">
      <alignment horizontal="center" vertical="center"/>
    </xf>
    <xf numFmtId="164" fontId="9" fillId="16" borderId="2" xfId="0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165" fontId="9" fillId="15" borderId="2" xfId="0" applyNumberFormat="1" applyFont="1" applyFill="1" applyBorder="1" applyAlignment="1">
      <alignment horizontal="left" vertical="center"/>
    </xf>
    <xf numFmtId="0" fontId="10" fillId="20" borderId="2" xfId="3" applyFont="1" applyFill="1" applyBorder="1" applyAlignment="1">
      <alignment horizontal="center" vertical="center"/>
    </xf>
    <xf numFmtId="164" fontId="10" fillId="0" borderId="2" xfId="3" applyNumberFormat="1" applyFont="1" applyBorder="1" applyAlignment="1">
      <alignment horizontal="left" vertical="center" wrapText="1"/>
    </xf>
    <xf numFmtId="49" fontId="8" fillId="4" borderId="2" xfId="0" applyNumberFormat="1" applyFont="1" applyFill="1" applyBorder="1" applyAlignment="1">
      <alignment horizontal="center" vertical="center"/>
    </xf>
    <xf numFmtId="43" fontId="8" fillId="0" borderId="2" xfId="4" applyFont="1" applyBorder="1" applyAlignment="1">
      <alignment horizontal="center" vertical="center"/>
    </xf>
    <xf numFmtId="3" fontId="10" fillId="0" borderId="2" xfId="3" applyNumberFormat="1" applyFont="1" applyBorder="1" applyAlignment="1">
      <alignment horizontal="center" vertical="center"/>
    </xf>
    <xf numFmtId="9" fontId="10" fillId="0" borderId="2" xfId="1" applyFont="1" applyBorder="1" applyAlignment="1">
      <alignment horizontal="center" vertical="center"/>
    </xf>
    <xf numFmtId="3" fontId="7" fillId="10" borderId="2" xfId="0" applyNumberFormat="1" applyFont="1" applyFill="1" applyBorder="1" applyAlignment="1">
      <alignment horizontal="left" vertical="center"/>
    </xf>
    <xf numFmtId="9" fontId="10" fillId="0" borderId="2" xfId="1" applyFont="1" applyFill="1" applyBorder="1" applyAlignment="1">
      <alignment horizontal="center" vertical="center"/>
    </xf>
    <xf numFmtId="0" fontId="8" fillId="7" borderId="0" xfId="0" applyFont="1" applyFill="1" applyAlignment="1">
      <alignment horizontal="left" vertical="center"/>
    </xf>
    <xf numFmtId="3" fontId="7" fillId="21" borderId="2" xfId="0" applyNumberFormat="1" applyFont="1" applyFill="1" applyBorder="1" applyAlignment="1">
      <alignment horizontal="center" vertical="center"/>
    </xf>
    <xf numFmtId="49" fontId="7" fillId="21" borderId="2" xfId="0" applyNumberFormat="1" applyFont="1" applyFill="1" applyBorder="1" applyAlignment="1">
      <alignment horizontal="center" vertical="center"/>
    </xf>
    <xf numFmtId="3" fontId="7" fillId="21" borderId="2" xfId="0" applyNumberFormat="1" applyFont="1" applyFill="1" applyBorder="1" applyAlignment="1">
      <alignment horizontal="left" vertical="center"/>
    </xf>
    <xf numFmtId="4" fontId="7" fillId="21" borderId="2" xfId="0" applyNumberFormat="1" applyFont="1" applyFill="1" applyBorder="1" applyAlignment="1">
      <alignment horizontal="center" vertical="center"/>
    </xf>
    <xf numFmtId="10" fontId="7" fillId="21" borderId="2" xfId="1" applyNumberFormat="1" applyFont="1" applyFill="1" applyBorder="1" applyAlignment="1">
      <alignment horizontal="center" vertical="center"/>
    </xf>
    <xf numFmtId="164" fontId="9" fillId="21" borderId="2" xfId="3" applyNumberFormat="1" applyFont="1" applyFill="1" applyBorder="1" applyAlignment="1">
      <alignment horizontal="left" vertical="center"/>
    </xf>
    <xf numFmtId="3" fontId="7" fillId="21" borderId="0" xfId="0" applyNumberFormat="1" applyFont="1" applyFill="1" applyAlignment="1">
      <alignment horizontal="left" vertical="center"/>
    </xf>
    <xf numFmtId="0" fontId="7" fillId="16" borderId="0" xfId="0" applyFont="1" applyFill="1" applyAlignment="1">
      <alignment horizontal="left" vertical="center"/>
    </xf>
    <xf numFmtId="0" fontId="8" fillId="19" borderId="0" xfId="0" applyFont="1" applyFill="1" applyAlignment="1">
      <alignment horizontal="left" vertical="center"/>
    </xf>
    <xf numFmtId="0" fontId="0" fillId="19" borderId="0" xfId="0" applyFill="1"/>
    <xf numFmtId="0" fontId="10" fillId="4" borderId="2" xfId="3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9" fontId="8" fillId="12" borderId="2" xfId="0" applyNumberFormat="1" applyFont="1" applyFill="1" applyBorder="1" applyAlignment="1">
      <alignment horizontal="center" vertical="center"/>
    </xf>
    <xf numFmtId="10" fontId="9" fillId="0" borderId="2" xfId="1" applyNumberFormat="1" applyFont="1" applyFill="1" applyBorder="1" applyAlignment="1">
      <alignment horizontal="center" vertical="center"/>
    </xf>
    <xf numFmtId="4" fontId="10" fillId="0" borderId="2" xfId="3" applyNumberFormat="1" applyFont="1" applyBorder="1" applyAlignment="1">
      <alignment horizontal="left" vertical="center"/>
    </xf>
    <xf numFmtId="4" fontId="10" fillId="4" borderId="2" xfId="3" applyNumberFormat="1" applyFont="1" applyFill="1" applyBorder="1" applyAlignment="1">
      <alignment horizontal="center" vertical="center"/>
    </xf>
    <xf numFmtId="4" fontId="10" fillId="22" borderId="2" xfId="3" applyNumberFormat="1" applyFont="1" applyFill="1" applyBorder="1" applyAlignment="1">
      <alignment horizontal="center" vertical="center"/>
    </xf>
    <xf numFmtId="9" fontId="10" fillId="3" borderId="2" xfId="3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horizontal="center" vertical="center"/>
    </xf>
    <xf numFmtId="49" fontId="8" fillId="3" borderId="0" xfId="0" applyNumberFormat="1" applyFont="1" applyFill="1" applyAlignment="1">
      <alignment horizontal="center" vertical="center"/>
    </xf>
    <xf numFmtId="49" fontId="8" fillId="4" borderId="0" xfId="0" applyNumberFormat="1" applyFont="1" applyFill="1" applyAlignment="1">
      <alignment horizontal="center" vertical="center"/>
    </xf>
    <xf numFmtId="0" fontId="12" fillId="0" borderId="1" xfId="0" applyFont="1" applyBorder="1"/>
    <xf numFmtId="0" fontId="0" fillId="0" borderId="1" xfId="0" applyBorder="1" applyAlignment="1">
      <alignment vertical="center"/>
    </xf>
    <xf numFmtId="167" fontId="0" fillId="0" borderId="1" xfId="0" applyNumberFormat="1" applyBorder="1" applyAlignment="1">
      <alignment vertical="center"/>
    </xf>
    <xf numFmtId="166" fontId="0" fillId="0" borderId="1" xfId="2" applyNumberFormat="1" applyFont="1" applyFill="1" applyBorder="1" applyAlignment="1">
      <alignment vertical="center"/>
    </xf>
    <xf numFmtId="0" fontId="0" fillId="0" borderId="1" xfId="0" applyBorder="1" applyAlignment="1">
      <alignment horizontal="left"/>
    </xf>
    <xf numFmtId="0" fontId="0" fillId="23" borderId="1" xfId="0" applyFill="1" applyBorder="1"/>
    <xf numFmtId="0" fontId="0" fillId="0" borderId="1" xfId="0" applyBorder="1"/>
    <xf numFmtId="167" fontId="12" fillId="0" borderId="1" xfId="0" applyNumberFormat="1" applyFont="1" applyBorder="1"/>
    <xf numFmtId="166" fontId="12" fillId="0" borderId="1" xfId="2" applyNumberFormat="1" applyFont="1" applyBorder="1"/>
    <xf numFmtId="166" fontId="0" fillId="0" borderId="1" xfId="2" applyNumberFormat="1" applyFont="1" applyBorder="1"/>
    <xf numFmtId="167" fontId="0" fillId="0" borderId="0" xfId="0" applyNumberFormat="1"/>
    <xf numFmtId="166" fontId="0" fillId="0" borderId="0" xfId="2" applyNumberFormat="1" applyFont="1"/>
    <xf numFmtId="0" fontId="12" fillId="0" borderId="0" xfId="0" applyFont="1"/>
    <xf numFmtId="0" fontId="12" fillId="23" borderId="1" xfId="0" applyFont="1" applyFill="1" applyBorder="1"/>
    <xf numFmtId="0" fontId="12" fillId="23" borderId="1" xfId="0" applyFont="1" applyFill="1" applyBorder="1" applyAlignment="1">
      <alignment horizontal="center"/>
    </xf>
    <xf numFmtId="166" fontId="12" fillId="23" borderId="1" xfId="2" applyNumberFormat="1" applyFont="1" applyFill="1" applyBorder="1" applyAlignment="1">
      <alignment horizontal="center"/>
    </xf>
    <xf numFmtId="0" fontId="12" fillId="25" borderId="1" xfId="0" applyFont="1" applyFill="1" applyBorder="1"/>
    <xf numFmtId="0" fontId="0" fillId="25" borderId="1" xfId="0" applyFill="1" applyBorder="1"/>
    <xf numFmtId="166" fontId="12" fillId="25" borderId="1" xfId="2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25" borderId="1" xfId="0" applyFont="1" applyFill="1" applyBorder="1" applyAlignment="1">
      <alignment horizontal="center"/>
    </xf>
    <xf numFmtId="167" fontId="12" fillId="0" borderId="0" xfId="0" applyNumberFormat="1" applyFont="1"/>
    <xf numFmtId="166" fontId="12" fillId="0" borderId="0" xfId="2" applyNumberFormat="1" applyFont="1" applyBorder="1"/>
    <xf numFmtId="168" fontId="0" fillId="0" borderId="1" xfId="0" applyNumberFormat="1" applyBorder="1"/>
    <xf numFmtId="166" fontId="0" fillId="0" borderId="1" xfId="2" applyNumberFormat="1" applyFont="1" applyFill="1" applyBorder="1"/>
    <xf numFmtId="0" fontId="13" fillId="0" borderId="1" xfId="0" applyFont="1" applyBorder="1"/>
    <xf numFmtId="0" fontId="12" fillId="26" borderId="7" xfId="0" applyFont="1" applyFill="1" applyBorder="1"/>
    <xf numFmtId="167" fontId="12" fillId="26" borderId="7" xfId="0" applyNumberFormat="1" applyFont="1" applyFill="1" applyBorder="1"/>
    <xf numFmtId="166" fontId="12" fillId="26" borderId="7" xfId="2" applyNumberFormat="1" applyFont="1" applyFill="1" applyBorder="1"/>
    <xf numFmtId="0" fontId="0" fillId="26" borderId="7" xfId="0" applyFill="1" applyBorder="1"/>
    <xf numFmtId="0" fontId="12" fillId="27" borderId="7" xfId="0" applyFont="1" applyFill="1" applyBorder="1"/>
    <xf numFmtId="167" fontId="12" fillId="27" borderId="7" xfId="0" applyNumberFormat="1" applyFont="1" applyFill="1" applyBorder="1"/>
    <xf numFmtId="166" fontId="12" fillId="27" borderId="7" xfId="2" applyNumberFormat="1" applyFont="1" applyFill="1" applyBorder="1"/>
    <xf numFmtId="0" fontId="0" fillId="27" borderId="7" xfId="0" applyFill="1" applyBorder="1"/>
    <xf numFmtId="0" fontId="12" fillId="16" borderId="1" xfId="0" applyFont="1" applyFill="1" applyBorder="1"/>
    <xf numFmtId="0" fontId="0" fillId="16" borderId="1" xfId="0" applyFill="1" applyBorder="1"/>
    <xf numFmtId="0" fontId="12" fillId="16" borderId="1" xfId="0" applyFont="1" applyFill="1" applyBorder="1" applyAlignment="1">
      <alignment horizontal="center"/>
    </xf>
    <xf numFmtId="166" fontId="12" fillId="16" borderId="1" xfId="2" applyNumberFormat="1" applyFont="1" applyFill="1" applyBorder="1" applyAlignment="1">
      <alignment horizontal="center"/>
    </xf>
    <xf numFmtId="0" fontId="0" fillId="16" borderId="0" xfId="0" applyFill="1"/>
    <xf numFmtId="0" fontId="0" fillId="0" borderId="4" xfId="0" applyBorder="1" applyAlignment="1">
      <alignment horizontal="left" vertical="center"/>
    </xf>
    <xf numFmtId="0" fontId="12" fillId="24" borderId="7" xfId="0" applyFont="1" applyFill="1" applyBorder="1"/>
    <xf numFmtId="167" fontId="12" fillId="24" borderId="7" xfId="0" applyNumberFormat="1" applyFont="1" applyFill="1" applyBorder="1"/>
    <xf numFmtId="166" fontId="12" fillId="24" borderId="7" xfId="2" applyNumberFormat="1" applyFont="1" applyFill="1" applyBorder="1"/>
    <xf numFmtId="0" fontId="0" fillId="24" borderId="7" xfId="0" applyFill="1" applyBorder="1"/>
    <xf numFmtId="0" fontId="0" fillId="28" borderId="0" xfId="0" applyFill="1"/>
    <xf numFmtId="166" fontId="0" fillId="21" borderId="1" xfId="2" applyNumberFormat="1" applyFont="1" applyFill="1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5" xfId="0" applyBorder="1"/>
    <xf numFmtId="166" fontId="0" fillId="0" borderId="5" xfId="2" applyNumberFormat="1" applyFont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0" fillId="4" borderId="1" xfId="0" applyFill="1" applyBorder="1"/>
    <xf numFmtId="167" fontId="0" fillId="4" borderId="1" xfId="0" applyNumberFormat="1" applyFill="1" applyBorder="1" applyAlignment="1">
      <alignment vertical="center"/>
    </xf>
    <xf numFmtId="166" fontId="0" fillId="4" borderId="1" xfId="2" applyNumberFormat="1" applyFont="1" applyFill="1" applyBorder="1" applyAlignment="1">
      <alignment vertical="center"/>
    </xf>
    <xf numFmtId="166" fontId="0" fillId="4" borderId="1" xfId="2" applyNumberFormat="1" applyFont="1" applyFill="1" applyBorder="1" applyAlignment="1">
      <alignment horizontal="right" vertical="center"/>
    </xf>
    <xf numFmtId="0" fontId="0" fillId="4" borderId="0" xfId="0" applyFill="1"/>
    <xf numFmtId="0" fontId="12" fillId="0" borderId="1" xfId="0" applyFont="1" applyBorder="1" applyAlignment="1">
      <alignment wrapText="1"/>
    </xf>
    <xf numFmtId="166" fontId="12" fillId="0" borderId="1" xfId="0" applyNumberFormat="1" applyFont="1" applyBorder="1" applyAlignment="1">
      <alignment wrapText="1"/>
    </xf>
    <xf numFmtId="9" fontId="8" fillId="0" borderId="2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167" fontId="0" fillId="0" borderId="1" xfId="2" applyNumberFormat="1" applyFont="1" applyFill="1" applyBorder="1" applyAlignment="1">
      <alignment horizontal="right" vertical="center"/>
    </xf>
    <xf numFmtId="168" fontId="0" fillId="0" borderId="1" xfId="2" applyNumberFormat="1" applyFont="1" applyFill="1" applyBorder="1" applyAlignment="1">
      <alignment horizontal="right" vertical="center"/>
    </xf>
    <xf numFmtId="168" fontId="0" fillId="0" borderId="1" xfId="2" applyNumberFormat="1" applyFont="1" applyFill="1" applyBorder="1"/>
    <xf numFmtId="166" fontId="0" fillId="3" borderId="1" xfId="2" applyNumberFormat="1" applyFont="1" applyFill="1" applyBorder="1" applyAlignment="1">
      <alignment vertical="center"/>
    </xf>
    <xf numFmtId="166" fontId="0" fillId="3" borderId="1" xfId="2" applyNumberFormat="1" applyFont="1" applyFill="1" applyBorder="1"/>
    <xf numFmtId="168" fontId="0" fillId="0" borderId="1" xfId="2" applyNumberFormat="1" applyFont="1" applyBorder="1"/>
    <xf numFmtId="0" fontId="0" fillId="29" borderId="5" xfId="0" applyFill="1" applyBorder="1" applyAlignment="1">
      <alignment wrapText="1"/>
    </xf>
    <xf numFmtId="166" fontId="0" fillId="0" borderId="1" xfId="2" applyNumberFormat="1" applyFont="1" applyBorder="1" applyAlignment="1"/>
    <xf numFmtId="0" fontId="0" fillId="0" borderId="8" xfId="0" applyBorder="1"/>
    <xf numFmtId="0" fontId="0" fillId="0" borderId="9" xfId="0" applyBorder="1"/>
    <xf numFmtId="0" fontId="0" fillId="0" borderId="10" xfId="0" applyBorder="1"/>
    <xf numFmtId="166" fontId="0" fillId="0" borderId="8" xfId="2" applyNumberFormat="1" applyFont="1" applyBorder="1" applyAlignment="1"/>
    <xf numFmtId="166" fontId="12" fillId="0" borderId="1" xfId="2" applyNumberFormat="1" applyFont="1" applyBorder="1" applyAlignment="1"/>
    <xf numFmtId="0" fontId="12" fillId="28" borderId="1" xfId="0" applyFont="1" applyFill="1" applyBorder="1"/>
    <xf numFmtId="0" fontId="12" fillId="28" borderId="1" xfId="0" applyFont="1" applyFill="1" applyBorder="1" applyAlignment="1">
      <alignment horizontal="center"/>
    </xf>
    <xf numFmtId="0" fontId="0" fillId="28" borderId="1" xfId="0" applyFill="1" applyBorder="1"/>
    <xf numFmtId="0" fontId="0" fillId="28" borderId="1" xfId="0" applyFill="1" applyBorder="1" applyAlignment="1">
      <alignment horizontal="center"/>
    </xf>
    <xf numFmtId="0" fontId="0" fillId="28" borderId="1" xfId="0" applyFill="1" applyBorder="1" applyAlignment="1">
      <alignment vertical="center"/>
    </xf>
    <xf numFmtId="0" fontId="0" fillId="28" borderId="6" xfId="0" applyFill="1" applyBorder="1"/>
    <xf numFmtId="0" fontId="0" fillId="6" borderId="6" xfId="0" applyFill="1" applyBorder="1"/>
    <xf numFmtId="0" fontId="12" fillId="6" borderId="7" xfId="0" applyFont="1" applyFill="1" applyBorder="1"/>
    <xf numFmtId="167" fontId="12" fillId="6" borderId="7" xfId="0" applyNumberFormat="1" applyFont="1" applyFill="1" applyBorder="1"/>
    <xf numFmtId="166" fontId="12" fillId="6" borderId="7" xfId="2" applyNumberFormat="1" applyFont="1" applyFill="1" applyBorder="1"/>
    <xf numFmtId="0" fontId="0" fillId="6" borderId="7" xfId="0" applyFill="1" applyBorder="1"/>
    <xf numFmtId="164" fontId="6" fillId="9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center" textRotation="90"/>
    </xf>
    <xf numFmtId="49" fontId="7" fillId="10" borderId="2" xfId="0" applyNumberFormat="1" applyFont="1" applyFill="1" applyBorder="1" applyAlignment="1">
      <alignment horizontal="left" vertical="center"/>
    </xf>
    <xf numFmtId="49" fontId="8" fillId="6" borderId="2" xfId="0" applyNumberFormat="1" applyFont="1" applyFill="1" applyBorder="1" applyAlignment="1">
      <alignment horizontal="left" vertical="center"/>
    </xf>
    <xf numFmtId="49" fontId="8" fillId="0" borderId="2" xfId="0" applyNumberFormat="1" applyFont="1" applyBorder="1" applyAlignment="1">
      <alignment horizontal="left" vertical="center"/>
    </xf>
    <xf numFmtId="49" fontId="8" fillId="7" borderId="2" xfId="0" applyNumberFormat="1" applyFont="1" applyFill="1" applyBorder="1" applyAlignment="1">
      <alignment horizontal="left" vertical="center"/>
    </xf>
    <xf numFmtId="49" fontId="8" fillId="12" borderId="2" xfId="0" applyNumberFormat="1" applyFont="1" applyFill="1" applyBorder="1" applyAlignment="1">
      <alignment horizontal="left" vertical="center"/>
    </xf>
    <xf numFmtId="49" fontId="8" fillId="4" borderId="2" xfId="0" applyNumberFormat="1" applyFont="1" applyFill="1" applyBorder="1" applyAlignment="1">
      <alignment horizontal="left" vertical="center"/>
    </xf>
    <xf numFmtId="49" fontId="8" fillId="11" borderId="2" xfId="0" applyNumberFormat="1" applyFont="1" applyFill="1" applyBorder="1" applyAlignment="1">
      <alignment horizontal="left" vertical="center"/>
    </xf>
    <xf numFmtId="49" fontId="8" fillId="13" borderId="2" xfId="0" applyNumberFormat="1" applyFont="1" applyFill="1" applyBorder="1" applyAlignment="1">
      <alignment horizontal="left" vertical="center"/>
    </xf>
    <xf numFmtId="49" fontId="8" fillId="14" borderId="2" xfId="0" applyNumberFormat="1" applyFont="1" applyFill="1" applyBorder="1" applyAlignment="1">
      <alignment horizontal="left" vertical="center"/>
    </xf>
    <xf numFmtId="49" fontId="8" fillId="15" borderId="2" xfId="0" applyNumberFormat="1" applyFont="1" applyFill="1" applyBorder="1" applyAlignment="1">
      <alignment horizontal="left" vertical="center"/>
    </xf>
    <xf numFmtId="49" fontId="8" fillId="16" borderId="2" xfId="0" applyNumberFormat="1" applyFont="1" applyFill="1" applyBorder="1" applyAlignment="1">
      <alignment horizontal="left" vertical="center"/>
    </xf>
    <xf numFmtId="49" fontId="8" fillId="17" borderId="2" xfId="0" applyNumberFormat="1" applyFont="1" applyFill="1" applyBorder="1" applyAlignment="1">
      <alignment horizontal="left" vertical="center"/>
    </xf>
    <xf numFmtId="49" fontId="8" fillId="18" borderId="2" xfId="0" applyNumberFormat="1" applyFont="1" applyFill="1" applyBorder="1" applyAlignment="1">
      <alignment horizontal="left" vertical="center"/>
    </xf>
    <xf numFmtId="49" fontId="8" fillId="19" borderId="2" xfId="0" applyNumberFormat="1" applyFont="1" applyFill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8" fillId="19" borderId="2" xfId="0" applyNumberFormat="1" applyFont="1" applyFill="1" applyBorder="1" applyAlignment="1">
      <alignment horizontal="left" vertical="center" wrapText="1"/>
    </xf>
    <xf numFmtId="169" fontId="10" fillId="0" borderId="2" xfId="3" applyNumberFormat="1" applyFont="1" applyBorder="1" applyAlignment="1">
      <alignment horizontal="center" vertical="center"/>
    </xf>
    <xf numFmtId="169" fontId="10" fillId="0" borderId="2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10" fontId="10" fillId="0" borderId="2" xfId="3" applyNumberFormat="1" applyFont="1" applyBorder="1" applyAlignment="1">
      <alignment horizontal="center" vertical="center"/>
    </xf>
    <xf numFmtId="49" fontId="6" fillId="9" borderId="2" xfId="3" applyNumberFormat="1" applyFont="1" applyFill="1" applyBorder="1" applyAlignment="1">
      <alignment horizontal="left" vertical="center" textRotation="90"/>
    </xf>
    <xf numFmtId="0" fontId="10" fillId="4" borderId="2" xfId="3" applyFont="1" applyFill="1" applyBorder="1" applyAlignment="1">
      <alignment horizontal="left" vertical="center"/>
    </xf>
    <xf numFmtId="9" fontId="8" fillId="0" borderId="0" xfId="0" applyNumberFormat="1" applyFont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164" fontId="8" fillId="4" borderId="2" xfId="3" applyNumberFormat="1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9" fontId="10" fillId="4" borderId="2" xfId="3" applyNumberFormat="1" applyFont="1" applyFill="1" applyBorder="1" applyAlignment="1">
      <alignment horizontal="center" vertical="center"/>
    </xf>
    <xf numFmtId="0" fontId="10" fillId="0" borderId="2" xfId="3" applyFont="1" applyBorder="1" applyAlignment="1">
      <alignment horizontal="left" vertical="center" wrapText="1"/>
    </xf>
    <xf numFmtId="0" fontId="12" fillId="6" borderId="11" xfId="0" applyFont="1" applyFill="1" applyBorder="1" applyAlignment="1">
      <alignment horizontal="center"/>
    </xf>
    <xf numFmtId="0" fontId="12" fillId="26" borderId="6" xfId="0" applyFont="1" applyFill="1" applyBorder="1" applyAlignment="1">
      <alignment horizontal="center"/>
    </xf>
    <xf numFmtId="0" fontId="12" fillId="24" borderId="6" xfId="0" applyFont="1" applyFill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2" fillId="27" borderId="6" xfId="0" applyFont="1" applyFill="1" applyBorder="1" applyAlignment="1">
      <alignment horizontal="center"/>
    </xf>
    <xf numFmtId="0" fontId="17" fillId="0" borderId="0" xfId="0" applyFont="1"/>
  </cellXfs>
  <cellStyles count="5">
    <cellStyle name="Millares" xfId="4" builtinId="3"/>
    <cellStyle name="Moneda" xfId="2" builtinId="4"/>
    <cellStyle name="Normal" xfId="0" builtinId="0"/>
    <cellStyle name="Normal 2" xfId="3" xr:uid="{EA02A8F1-31AE-4B4F-AEEB-C489B1EDED72}"/>
    <cellStyle name="Porcentaje" xfId="1" builtinId="5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sumo_Revisi&#243;nRector_EstructuraPED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DI"/>
      <sheetName val="Bien_ActuaPoli"/>
      <sheetName val="Bien_Fortaperm"/>
      <sheetName val="Bien_Fortaestrat"/>
      <sheetName val="Bien_PP"/>
      <sheetName val="Bien_Cult-Deporte"/>
      <sheetName val="Bien_Socioeconomicos"/>
      <sheetName val="Indicadores_Docencia"/>
      <sheetName val="Doc_ReglamEst"/>
      <sheetName val="Doc_DiseñProg"/>
      <sheetName val="Doc_CompetGenEsp"/>
      <sheetName val="Doc_LineamCurr"/>
      <sheetName val="Doc_EstratEvaluacApr"/>
      <sheetName val="Doc_ArticEduMedia"/>
      <sheetName val="Doc_MetodModelPeda"/>
      <sheetName val="Doc_NormatDocen"/>
      <sheetName val="Doc_PlantaDoc"/>
      <sheetName val="Doc_ContDig"/>
      <sheetName val="Doc_CPA"/>
      <sheetName val="Doc_EstuMercado"/>
      <sheetName val="Doc_ModRegional"/>
      <sheetName val="Inv_Actualiza"/>
      <sheetName val="Inv_Consol"/>
      <sheetName val="Inv_Consol2"/>
      <sheetName val="Inv_FortProdAcad"/>
      <sheetName val="Inv_FortaIncent"/>
      <sheetName val="Inv_Divulg"/>
      <sheetName val="Inv_Proy_social"/>
      <sheetName val="Inv_Proyecci"/>
      <sheetName val="PLN-TI_Amb"/>
      <sheetName val="PLN-Obsv"/>
      <sheetName val="PLN-InfraFis"/>
      <sheetName val="PLN-SSII"/>
      <sheetName val="PLN-GD"/>
      <sheetName val="TI-InfraTec"/>
      <sheetName val="Calidad - Consol SIAC"/>
      <sheetName val="Calidad - Fortal Autoev"/>
      <sheetName val="Hoja1"/>
      <sheetName val="Calidad -  Gestión Acredita"/>
      <sheetName val="Talento H. Fort Capacita"/>
      <sheetName val="Talento H. Fort. Restructuració"/>
      <sheetName val="Talento H. Fort. Incentivos"/>
      <sheetName val="Comunicaciones - Plan de Comuni"/>
      <sheetName val="Comunicaciones - Mercadeo"/>
      <sheetName val="Biblioteca - Fondo Editorial"/>
      <sheetName val="EXT-Consult"/>
      <sheetName val="EXT-Egresa"/>
      <sheetName val="Ext- EduConti"/>
      <sheetName val="EXT-ProyEspec"/>
      <sheetName val="EXT-ResponsabSocial"/>
      <sheetName val="EXT- Patrimon"/>
      <sheetName val="EXT-ORI"/>
      <sheetName val="Admon-Doc."/>
      <sheetName val="PEDI (2)"/>
      <sheetName val="CRONOGRAMA DE REUNIONES "/>
      <sheetName val="PresupuestoVice"/>
      <sheetName val="CONSOLIDADO - FINANCIERA"/>
      <sheetName val="REUNIONES - REC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E3" t="str">
            <v>1.1.2. Diseño de programas académicos en sus diferentes modalidades</v>
          </cell>
        </row>
      </sheetData>
      <sheetData sheetId="10"/>
      <sheetData sheetId="11"/>
      <sheetData sheetId="12"/>
      <sheetData sheetId="13">
        <row r="3">
          <cell r="E3" t="str">
            <v>1.1.6. Fortalecimiento de las estrategias de articulación de la educación media con la educación superior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aniela Velez Osorio - Planeación IUE" id="{80EBDDCF-CEAB-4672-861A-A6EA25727CDF}" userId="S::daniela.velez@iue.edu.co::608c6ba7-8866-42b7-8e0e-7191300cf321" providerId="AD"/>
  <person displayName="Daniel Aguirre Rios - Contratista IUE" id="{01CC7686-84B0-449F-BD7A-19BE29C16BD9}" userId="S::daniel.aguirre@iue.edu.co::00058f09-d33e-40d1-860d-719628f8bd45" providerId="AD"/>
  <person displayName="Carolina Maria Gonzalez Restrepo - Contratista IUE" id="{65348723-78D2-489E-9CB5-40D9A2E0F669}" userId="S::carolina.gonzalez@iue.edu.co::6c6d4476-b9a4-422e-80e0-0855147667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14" dT="2025-08-24T01:42:48.83" personId="{80EBDDCF-CEAB-4672-861A-A6EA25727CDF}" id="{A03DD397-C6B6-4BD2-885B-BF3608872F70}">
    <text>Docencia definió una meta de 700 estudiantes por año, se sugiere mejor expresar las metas en %: 10%</text>
  </threadedComment>
  <threadedComment ref="J15" dT="2025-08-22T13:01:36.43" personId="{80EBDDCF-CEAB-4672-861A-A6EA25727CDF}" id="{AA8AF84C-C059-44DD-99D2-BB121D757F1D}">
    <text>S14, FUENTE SPADIES</text>
  </threadedComment>
  <threadedComment ref="J18" dT="2025-07-23T23:59:10.55" personId="{80EBDDCF-CEAB-4672-861A-A6EA25727CDF}" id="{BA5AC693-7821-466B-B3C3-55D675CDA5C7}">
    <text>Carrera</text>
  </threadedComment>
  <threadedComment ref="J24" dT="2025-07-31T13:32:54.60" personId="{80EBDDCF-CEAB-4672-861A-A6EA25727CDF}" id="{2CB2ECEA-27DC-4CC1-9B58-8132C1927458}">
    <text>1. Consultorio Matemático
2. Laboratorio LEO
3. Escuela de Idiomas
4. Capacitaciones estudiantes
5. Capacitaciones docentes
6. Simulacros
7. Seminarios de competencias especificas
8. Reforma curricular</text>
  </threadedComment>
  <threadedComment ref="J27" dT="2025-07-25T15:10:49.80" personId="{80EBDDCF-CEAB-4672-861A-A6EA25727CDF}" id="{60D0E9CC-1B50-4355-8362-F06614912F87}">
    <text>CEPED, Ruta de RA, PIC</text>
  </threadedComment>
  <threadedComment ref="J35" dT="2025-07-25T15:18:54.22" personId="{80EBDDCF-CEAB-4672-861A-A6EA25727CDF}" id="{76113246-0973-48E4-9B07-4D7A65C12EF8}">
    <text>CHIGORODÓ</text>
  </threadedComment>
  <threadedComment ref="J49" dT="2025-08-14T15:23:54.78" personId="{80EBDDCF-CEAB-4672-861A-A6EA25727CDF}" id="{D9ACB6AA-29DB-4881-8B3B-949C7944C71C}">
    <text>1. Estrategia nivelación de competencias académicas (matemáticas, lectura critica y orientación vocacional).
2. Avance de asignaturas transversales (silla vacía)</text>
  </threadedComment>
  <threadedComment ref="M49" dT="2025-08-14T15:29:17.04" personId="{80EBDDCF-CEAB-4672-861A-A6EA25727CDF}" id="{DA52A52F-F4B8-4A4A-A042-B8E419084CB4}">
    <text>3. CEFIT</text>
  </threadedComment>
  <threadedComment ref="J68" dT="2025-08-23T23:47:34.58" personId="{80EBDDCF-CEAB-4672-861A-A6EA25727CDF}" id="{1AD76B70-D13A-4F08-B2CB-15A64734C332}">
    <text>Hoy hay 73 investigadores, de ellos  43 fueron reconocidos por MINCIENCIAS (convocatoria 2024) y corresponden al 59%</text>
  </threadedComment>
  <threadedComment ref="K68" dT="2025-08-23T23:47:34.58" personId="{80EBDDCF-CEAB-4672-861A-A6EA25727CDF}" id="{11A86CC8-4293-4605-95A7-DE327D1C5072}">
    <text>Hoy hay 73 investigadores, de ellos  43 fueron reconocidos por MINCIENCIAS (convocatoria 2024) y corresponden al 59%</text>
  </threadedComment>
  <threadedComment ref="L68" dT="2025-08-23T23:47:34.58" personId="{80EBDDCF-CEAB-4672-861A-A6EA25727CDF}" id="{AA83CB6E-B3C5-4A20-AD77-B098A65F06A2}">
    <text>Hoy hay 73 investigadores, de ellos  43 fueron reconocidos por MINCIENCIAS (convocatoria 2024) y corresponden al 59%</text>
  </threadedComment>
  <threadedComment ref="M68" dT="2025-08-23T23:47:34.58" personId="{80EBDDCF-CEAB-4672-861A-A6EA25727CDF}" id="{AB02E229-9954-4509-8FE0-7CCE883B37E6}">
    <text>Hoy hay 73 investigadores, de ellos  43 fueron reconocidos por MINCIENCIAS (convocatoria 2024) y corresponden al 59%</text>
  </threadedComment>
  <threadedComment ref="N68" dT="2025-08-23T23:58:52.59" personId="{80EBDDCF-CEAB-4672-861A-A6EA25727CDF}" id="{8EBE727A-4ADA-47A3-9E3D-6744726C5E1B}">
    <text>52 investigadores que se proyecta que sean reconocidos por MINCIENCIAS de 73 que corresponden al 71%</text>
  </threadedComment>
  <threadedComment ref="O68" dT="2025-08-23T23:58:52.59" personId="{80EBDDCF-CEAB-4672-861A-A6EA25727CDF}" id="{C794302E-E4F5-4129-A2E8-64867C612B62}">
    <text>52 investigadores que se proyecta que sean reconocidos por MINCIENCIAS de 73 que corresponden al 71%</text>
  </threadedComment>
  <threadedComment ref="P68" dT="2025-08-23T23:58:52.59" personId="{80EBDDCF-CEAB-4672-861A-A6EA25727CDF}" id="{068BBDC7-08E6-43E2-A230-FFFF0C268405}">
    <text>52 investigadores que se proyecta que sean reconocidos por MINCIENCIAS de 73 que corresponden al 71%</text>
  </threadedComment>
  <threadedComment ref="J69" dT="2025-08-22T13:11:43.93" personId="{80EBDDCF-CEAB-4672-861A-A6EA25727CDF}" id="{79E7944D-9DB1-420D-AEAF-6BB3D39EF1E8}">
    <text>Hoy hay 73 investigadores, de ellos  53 tienen índice H y corresponden al 73%</text>
  </threadedComment>
  <threadedComment ref="K69" dT="2025-08-22T13:11:43.93" personId="{80EBDDCF-CEAB-4672-861A-A6EA25727CDF}" id="{34E612F9-ECB9-4481-9999-0355591C73C6}">
    <text>Hoy hay 73 investigadores, de ellos  53 tienen índice H y corresponden al 73%</text>
  </threadedComment>
  <threadedComment ref="L69" dT="2025-08-23T23:52:36.61" personId="{80EBDDCF-CEAB-4672-861A-A6EA25727CDF}" id="{25A743C9-7A91-4DBA-AD65-1926ACC751DD}">
    <text>55 investigadores con IH</text>
  </threadedComment>
  <threadedComment ref="M69" dT="2025-08-23T23:52:17.40" personId="{80EBDDCF-CEAB-4672-861A-A6EA25727CDF}" id="{6BFE2A03-45CF-41AF-A070-2688F490A0C8}">
    <text>56 investigadores con IH</text>
  </threadedComment>
  <threadedComment ref="N69" dT="2025-08-23T23:49:35.14" personId="{80EBDDCF-CEAB-4672-861A-A6EA25727CDF}" id="{568B79B8-3D6E-49E0-B1D8-64B36618A34F}">
    <text>58 investigadores con IH</text>
  </threadedComment>
  <threadedComment ref="O69" dT="2025-08-23T23:49:35.14" personId="{80EBDDCF-CEAB-4672-861A-A6EA25727CDF}" id="{A0D6F65B-0971-4D7B-949D-3C613FA0DEF5}">
    <text>58 investigadores con IH</text>
  </threadedComment>
  <threadedComment ref="P69" dT="2025-08-23T23:49:35.14" personId="{80EBDDCF-CEAB-4672-861A-A6EA25727CDF}" id="{0D9DA45F-498D-464A-B55F-DDCB70DF167F}">
    <text>58 investigadores con IH</text>
  </threadedComment>
  <threadedComment ref="J196" dT="2025-08-24T22:41:42.09" personId="{80EBDDCF-CEAB-4672-861A-A6EA25727CDF}" id="{663EC699-44D4-4A12-8D64-C0CFCCEBB358}">
    <text>- 13 laboratorios
- 9 espacios de práctica y consultorios (2 Gesell, conciliación y audiencias + 5 consultorios)
- 64 aulas
- 14 salas de cómputo
- 1 Biblioteca
- 6 espacios culturales, deportivos y descanso 
- 2 auditorios
- 1 teatro auditorio
- 1 Coworking
TOTAL: 111 ESPACIOS</text>
  </threadedComment>
  <threadedComment ref="K196" dT="2025-08-24T23:03:13.90" personId="{80EBDDCF-CEAB-4672-861A-A6EA25727CDF}" id="{62861E3A-718B-473B-8984-AB47DB0D5FD5}">
    <text>Sala de descanso B8
CPA</text>
  </threadedComment>
  <threadedComment ref="L196" dT="2025-08-24T23:03:54.37" personId="{80EBDDCF-CEAB-4672-861A-A6EA25727CDF}" id="{8EA18B2E-37B9-4A6E-9BB6-B3E497C825F7}">
    <text>Espacios híbridos: 8 aulas de posgrado</text>
  </threadedComment>
  <threadedComment ref="M196" dT="2025-08-24T23:06:46.73" personId="{80EBDDCF-CEAB-4672-861A-A6EA25727CDF}" id="{E71815BB-CCD3-4B16-A344-3953D6E86E01}">
    <text>Bloque 14:
32 aulas
1 Biblioteca y hemerotica
1 coworking
10 salas especializadas y laboratorios</text>
  </threadedComment>
  <threadedComment ref="K197" dT="2025-08-24T06:59:47.98" personId="{80EBDDCF-CEAB-4672-861A-A6EA25727CDF}" id="{BB98CCF3-50EF-43F2-8134-B00CCD281AFD}">
    <text>Archivo: 450 m2
Sala de descanso B8: 116 m2
CPA: 160 m2</text>
  </threadedComment>
  <threadedComment ref="L197" dT="2025-08-24T07:00:13.29" personId="{80EBDDCF-CEAB-4672-861A-A6EA25727CDF}" id="{F0BDF401-ECF8-40C5-9725-04C2714A5158}">
    <text>Espacios híbridos: 400 m2
Plazoleta central: 330 m2
Boulevar: 380 m2</text>
  </threadedComment>
  <threadedComment ref="M197" dT="2025-08-24T07:04:31.01" personId="{80EBDDCF-CEAB-4672-861A-A6EA25727CDF}" id="{3F11AC08-5295-47ED-88D6-B7C60C666DCC}">
    <text>Habilitación y dotación bloque 14: 8.400 m2
Cubierta Biblioteca: 400 m2</text>
  </threadedComment>
  <threadedComment ref="N197" dT="2025-08-31T15:20:26.49" personId="{80EBDDCF-CEAB-4672-861A-A6EA25727CDF}" id="{4E186C6C-85E8-4355-8B5D-3BD57AFAE6B2}">
    <text>Habilitación y dotación Casa Egresados: 2.400 m2</text>
  </threadedComment>
  <threadedComment ref="O197" dT="2025-08-24T07:04:53.91" personId="{80EBDDCF-CEAB-4672-861A-A6EA25727CDF}" id="{72FA34E3-DFA1-4C67-A0F9-AED163E3F588}">
    <text xml:space="preserve">Dotación B11
</text>
  </threadedComment>
  <threadedComment ref="L198" dT="2025-08-24T06:58:48.80" personId="{80EBDDCF-CEAB-4672-861A-A6EA25727CDF}" id="{50A255ED-BE4A-42D8-9D2A-DAF1176CBE21}">
    <text xml:space="preserve">Construcción de la segunda etapa del bloque 14: 60% =5.040 m2
</text>
  </threadedComment>
  <threadedComment ref="M198" dT="2025-08-24T06:59:04.87" personId="{80EBDDCF-CEAB-4672-861A-A6EA25727CDF}" id="{85FAA4D7-DF0E-4D8F-86B3-3B4AB59E21B2}">
    <text>Construcción de la segunda etapa del bloque 14: 40% =3.360 m2
Construcción de la Casa del Egresado: 40% = 960 m2</text>
  </threadedComment>
  <threadedComment ref="N198" dT="2025-08-24T06:59:20.59" personId="{80EBDDCF-CEAB-4672-861A-A6EA25727CDF}" id="{C27D14D1-0C79-4616-888E-7E106A4F8D35}">
    <text>Casa del Egresado: 60% = 1.440 m2</text>
  </threadedComment>
  <threadedComment ref="O198" dT="2025-08-24T06:59:27.27" personId="{80EBDDCF-CEAB-4672-861A-A6EA25727CDF}" id="{8CAA2CB9-75FD-4E62-8F17-81FA7BFEE0AD}">
    <text>B11: 5.000 m2</text>
  </threadedComment>
  <threadedComment ref="J201" dT="2025-08-22T21:54:02.94" personId="{80EBDDCF-CEAB-4672-861A-A6EA25727CDF}" id="{46BC03D0-FD26-4B84-BB7C-1E47D664E344}">
    <text>Para 2024, el consumo total de agua fue de 30.449 m3 y una población de 7.000 personas, se haya un consumo 4,3 m3 por persona</text>
  </threadedComment>
  <threadedComment ref="J202" dT="2025-08-22T22:08:01.07" personId="{80EBDDCF-CEAB-4672-861A-A6EA25727CDF}" id="{D6BD068D-45FC-459F-AC85-A50EB7ADED98}">
    <text>Para 2024, el consumo total de energía fue de 574.571 Kw y una población de 7.000 personas, se haya un consumo  de 82,1 Kw por persona</text>
  </threadedComment>
  <threadedComment ref="J214" dT="2025-08-22T22:11:45.98" personId="{80EBDDCF-CEAB-4672-861A-A6EA25727CDF}" id="{A98B7D13-448D-4E07-8027-5B39DD6C591E}">
    <text xml:space="preserve">958 kg de RAEE
1.730 kg orgánicos
5.877 kg de reciclaje
1.873 kg de ordinarios
</text>
  </threadedComment>
  <threadedComment ref="K215" dT="2025-08-27T12:30:30.50" personId="{80EBDDCF-CEAB-4672-861A-A6EA25727CDF}" id="{D9B99A3B-264B-4C8B-AFAB-7CE81BB7701D}">
    <text>20 de las 33 oficinas</text>
  </threadedComment>
  <threadedComment ref="K215" dT="2025-08-29T21:51:43.41" personId="{01CC7686-84B0-449F-BD7A-19BE29C16BD9}" id="{F972EDFC-C827-49D8-9777-90B8D495C793}" parentId="{D9B99A3B-264B-4C8B-AFAB-7CE81BB7701D}">
    <text>15 oficinas de 33 para la vigencia 2025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13" dT="2025-07-31T13:32:54.60" personId="{80EBDDCF-CEAB-4672-861A-A6EA25727CDF}" id="{94B330A0-5A33-4528-8DB5-19F4290C2D02}">
    <text>1. Consultorio Matemático
2. Laboratorio LEO
3. Escuela de Idiomas
4. Capacitaciones estudiantes
5. Capacitaciones docentes
6. Simulacros
7. Seminarios de competencias especificas
8. Reforma curricular</text>
  </threadedComment>
  <threadedComment ref="J27" dT="2025-07-25T15:10:49.80" personId="{80EBDDCF-CEAB-4672-861A-A6EA25727CDF}" id="{310AE373-FFEB-4EDA-B9E5-7E5CC1069368}">
    <text>CEPED, Ruta de RA, PIC</text>
  </threadedComment>
  <threadedComment ref="J29" dT="2025-07-23T23:59:10.55" personId="{80EBDDCF-CEAB-4672-861A-A6EA25727CDF}" id="{1286F354-DD43-4E6F-BF86-E4AF20FF27BF}">
    <text>Carrera</text>
  </threadedComment>
  <threadedComment ref="J38" dT="2025-07-25T15:18:54.22" personId="{80EBDDCF-CEAB-4672-861A-A6EA25727CDF}" id="{7D135291-AAFA-4809-8EEB-2E2B617800EB}">
    <text>CHIGORODÓ</text>
  </threadedComment>
  <threadedComment ref="D57" dT="2025-07-24T00:56:00.86" personId="{80EBDDCF-CEAB-4672-861A-A6EA25727CDF}" id="{2F127FF2-A347-4DF9-94D1-F80947F56E46}">
    <text>DE RESULTADO en el modelo</text>
  </threadedComment>
  <threadedComment ref="I65" dT="2025-07-25T14:58:55.40" personId="{65348723-78D2-489E-9CB5-40D9A2E0F669}" id="{5E6D3ADC-9110-43B0-BAA2-F7AE25DB9BA8}">
    <text>Acumulado en modelo</text>
  </threadedComment>
  <threadedComment ref="I115" dT="2025-07-25T15:14:25.37" personId="{65348723-78D2-489E-9CB5-40D9A2E0F669}" id="{307AD5CC-7628-4196-A3ED-0A5855899266}">
    <text>DOCUMENTO en el modelo</text>
  </threadedComment>
  <threadedComment ref="I116" dT="2025-07-25T15:15:04.51" personId="{65348723-78D2-489E-9CB5-40D9A2E0F669}" id="{33F00C76-DE76-41E7-865C-B9E9262101A8}">
    <text>ACUMULADO en el modelo</text>
  </threadedComment>
  <threadedComment ref="I117" dT="2025-07-25T15:15:41.03" personId="{65348723-78D2-489E-9CB5-40D9A2E0F669}" id="{44A6F288-D337-4592-8538-F9ADA2266E4B}">
    <text>ACUMULADO en el modelo</text>
  </threadedComment>
  <threadedComment ref="F130" dT="2025-07-26T18:16:57.88" personId="{80EBDDCF-CEAB-4672-861A-A6EA25727CDF}" id="{10081455-9B2D-44D0-90C8-DE61E303A975}">
    <text>¡Proyectaron todas las formas en la metas?</text>
  </threadedComment>
  <threadedComment ref="I142" dT="2025-07-25T15:22:56.28" personId="{65348723-78D2-489E-9CB5-40D9A2E0F669}" id="{D6429CFA-CBE3-43DB-9DA0-09EF504289A4}">
    <text>ACUMULADO en el modelo</text>
  </threadedComment>
  <threadedComment ref="I143" dT="2025-07-25T15:23:37.73" personId="{65348723-78D2-489E-9CB5-40D9A2E0F669}" id="{87BFCF59-6C00-4D4D-858D-57A23B772FC4}">
    <text>ACUMULADO en el modelo</text>
  </threadedComment>
  <threadedComment ref="I147" dT="2025-07-25T15:25:00.19" personId="{65348723-78D2-489E-9CB5-40D9A2E0F669}" id="{DE0EC4A2-B4E4-435B-90F5-6BF74D31BB9E}">
    <text>ACUMULADO en el modelo</text>
  </threadedComment>
  <threadedComment ref="F150" dT="2025-07-26T18:30:20.15" personId="{80EBDDCF-CEAB-4672-861A-A6EA25727CDF}" id="{A4694C89-8A45-4049-9A44-B7C6449D5053}">
    <text>Es el mismo indicadore, lo separaron</text>
  </threadedComment>
  <threadedComment ref="I165" dT="2025-07-25T16:55:28.89" personId="{65348723-78D2-489E-9CB5-40D9A2E0F669}" id="{F9D4D3C0-3479-482A-A070-B6F91C7AAEF9}">
    <text>ACUMULADO en el modelo</text>
  </threadedComment>
  <threadedComment ref="F180" dT="2025-07-26T19:20:25.77" personId="{80EBDDCF-CEAB-4672-861A-A6EA25727CDF}" id="{D9F5C6AC-53C7-4B12-9021-0997A772A642}">
    <text>En 2024 prestaron 5.998 servicios</text>
  </threadedComment>
  <threadedComment ref="F183" dT="2025-07-26T19:20:46.31" personId="{80EBDDCF-CEAB-4672-861A-A6EA25727CDF}" id="{E630CF43-BBCD-4EF8-889C-7FAE7C5EF2A0}">
    <text>En 2024 atendieron 2.789 estudiantes</text>
  </threadedComment>
  <threadedComment ref="F187" dT="2025-07-26T19:24:31.59" personId="{80EBDDCF-CEAB-4672-861A-A6EA25727CDF}" id="{9E132317-74B9-4B16-B53A-E8630FA47661}">
    <text>Para 2024 prestaron 3.235 servicios</text>
  </threadedComment>
  <threadedComment ref="F188" dT="2025-07-26T19:25:20.80" personId="{80EBDDCF-CEAB-4672-861A-A6EA25727CDF}" id="{E84B6FD5-2434-43E8-889A-6D4A681AACDF}">
    <text>Para 2024 atendieron 1.463 personas</text>
  </threadedComment>
  <threadedComment ref="F189" dT="2025-07-26T19:25:44.19" personId="{80EBDDCF-CEAB-4672-861A-A6EA25727CDF}" id="{A2B99CCC-8362-497D-9E02-548CAE852FAD}">
    <text>Para 2024 prestaron 83.062 servicios</text>
  </threadedComment>
  <threadedComment ref="F190" dT="2025-07-26T19:26:05.29" personId="{80EBDDCF-CEAB-4672-861A-A6EA25727CDF}" id="{471BE39D-A846-4191-940D-61DE334340F0}">
    <text>Para 2024 atendieron 4.069 personas</text>
  </threadedComment>
  <threadedComment ref="F208" dT="2025-07-26T19:58:48.86" personId="{80EBDDCF-CEAB-4672-861A-A6EA25727CDF}" id="{8BBBF6F3-D7F0-41B5-A7F9-93DCB28B0302}">
    <text>Funcionamiento</text>
  </threadedComment>
  <threadedComment ref="F217" dT="2025-07-26T20:38:03.42" personId="{80EBDDCF-CEAB-4672-861A-A6EA25727CDF}" id="{5173390A-276D-44B6-B7DD-2F7DCA3B7F4B}">
    <text>En el modelo se llama diferente</text>
  </threadedComment>
  <threadedComment ref="I236" dT="2025-07-25T19:59:56.31" personId="{65348723-78D2-489E-9CB5-40D9A2E0F669}" id="{34EC4E22-371C-4C0F-BEA7-2D74BD4CF50F}">
    <text>DOCUMENTO en el modelo</text>
  </threadedComment>
  <threadedComment ref="I251" dT="2025-07-25T19:24:58.15" personId="{65348723-78D2-489E-9CB5-40D9A2E0F669}" id="{F3951E31-4998-4AC7-8825-A006FCB9F45D}">
    <text>ACUMULADO en el modelo</text>
  </threadedComment>
  <threadedComment ref="I252" dT="2025-07-25T19:26:36.37" personId="{65348723-78D2-489E-9CB5-40D9A2E0F669}" id="{FA132217-51EE-4E5E-B15F-81FE80974A1B}">
    <text>ACUMULADO en el modelo</text>
  </threadedComment>
  <threadedComment ref="I253" dT="2025-07-25T19:27:52.55" personId="{65348723-78D2-489E-9CB5-40D9A2E0F669}" id="{8FDD2585-5D7B-487A-9627-70A9C3751DE2}">
    <text>ACUMULADO en el modelo</text>
  </threadedComment>
  <threadedComment ref="I254" dT="2025-07-25T19:28:42.72" personId="{65348723-78D2-489E-9CB5-40D9A2E0F669}" id="{315D323B-B78C-47BB-A763-4492703736E0}">
    <text>ACUMULADO en el modelo</text>
  </threadedComment>
  <threadedComment ref="I255" dT="2025-07-25T19:29:27.88" personId="{65348723-78D2-489E-9CB5-40D9A2E0F669}" id="{6FE18BDB-A889-425A-90F2-CFC59488B35B}">
    <text>ACUMULADO en el modelo</text>
  </threadedComment>
  <threadedComment ref="I256" dT="2025-07-25T19:30:27.55" personId="{65348723-78D2-489E-9CB5-40D9A2E0F669}" id="{1EE8E1F1-6FC5-49A9-8435-30AFAE586547}">
    <text>ACUMULADO en el modelo</text>
  </threadedComment>
  <threadedComment ref="I257" dT="2025-07-25T19:34:19.42" personId="{65348723-78D2-489E-9CB5-40D9A2E0F669}" id="{FF0ED798-7B53-43BA-AA09-70EBC2A47BC8}">
    <text>ACUMULADO en el modelo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EAF6C-F610-4C55-B6AA-143A68E30F65}">
  <dimension ref="A1:AH229"/>
  <sheetViews>
    <sheetView tabSelected="1" topLeftCell="G1" zoomScale="120" zoomScaleNormal="120" workbookViewId="0">
      <pane ySplit="2" topLeftCell="A217" activePane="bottomLeft" state="frozen"/>
      <selection activeCell="E1" sqref="E1"/>
      <selection pane="bottomLeft" activeCell="J218" sqref="J218"/>
    </sheetView>
  </sheetViews>
  <sheetFormatPr baseColWidth="10" defaultColWidth="11.42578125" defaultRowHeight="12.75" x14ac:dyDescent="0.25"/>
  <cols>
    <col min="1" max="3" width="2.42578125" style="127" customWidth="1"/>
    <col min="4" max="4" width="14" style="286" customWidth="1"/>
    <col min="5" max="5" width="21.7109375" style="286" customWidth="1"/>
    <col min="6" max="6" width="52.42578125" style="27" customWidth="1"/>
    <col min="7" max="7" width="6.42578125" style="127" customWidth="1"/>
    <col min="8" max="8" width="8.28515625" style="127" customWidth="1"/>
    <col min="9" max="9" width="12.140625" style="127" customWidth="1"/>
    <col min="10" max="10" width="10.7109375" style="127" customWidth="1"/>
    <col min="11" max="11" width="11" style="127" hidden="1" customWidth="1"/>
    <col min="12" max="14" width="13" style="127" hidden="1" customWidth="1"/>
    <col min="15" max="15" width="11.7109375" style="127" hidden="1" customWidth="1"/>
    <col min="16" max="16" width="11.140625" style="127" customWidth="1"/>
    <col min="17" max="16384" width="11.42578125" style="27"/>
  </cols>
  <sheetData>
    <row r="1" spans="1:34" s="21" customFormat="1" ht="19.5" customHeight="1" x14ac:dyDescent="0.25">
      <c r="A1" s="15" t="s">
        <v>0</v>
      </c>
      <c r="B1" s="15" t="s">
        <v>1</v>
      </c>
      <c r="C1" s="15" t="s">
        <v>2</v>
      </c>
      <c r="D1" s="292" t="s">
        <v>3</v>
      </c>
      <c r="E1" s="16"/>
      <c r="F1" s="17"/>
      <c r="G1" s="17" t="s">
        <v>4</v>
      </c>
      <c r="H1" s="18" t="s">
        <v>5</v>
      </c>
      <c r="I1" s="270" t="s">
        <v>6</v>
      </c>
      <c r="J1" s="270" t="s">
        <v>7</v>
      </c>
      <c r="K1" s="17" t="s">
        <v>8</v>
      </c>
      <c r="L1" s="17" t="s">
        <v>9</v>
      </c>
      <c r="M1" s="17" t="s">
        <v>10</v>
      </c>
      <c r="N1" s="17" t="s">
        <v>11</v>
      </c>
      <c r="O1" s="17" t="s">
        <v>12</v>
      </c>
      <c r="P1" s="17" t="s">
        <v>13</v>
      </c>
    </row>
    <row r="2" spans="1:34" ht="12.4" customHeight="1" x14ac:dyDescent="0.25">
      <c r="A2" s="22"/>
      <c r="B2" s="22"/>
      <c r="C2" s="22"/>
      <c r="D2" s="271"/>
      <c r="E2" s="23"/>
      <c r="F2" s="28"/>
      <c r="G2" s="29"/>
      <c r="H2" s="29"/>
      <c r="I2" s="29"/>
      <c r="J2" s="29"/>
      <c r="K2" s="30"/>
      <c r="L2" s="30"/>
      <c r="M2" s="30"/>
      <c r="N2" s="30"/>
      <c r="O2" s="30"/>
      <c r="P2" s="30"/>
    </row>
    <row r="3" spans="1:34" ht="12.4" customHeight="1" x14ac:dyDescent="0.25">
      <c r="A3" s="32">
        <v>1</v>
      </c>
      <c r="B3" s="32">
        <v>0</v>
      </c>
      <c r="C3" s="32">
        <v>0</v>
      </c>
      <c r="D3" s="272" t="s">
        <v>3</v>
      </c>
      <c r="E3" s="33" t="s">
        <v>0</v>
      </c>
      <c r="F3" s="162" t="s">
        <v>14</v>
      </c>
      <c r="G3" s="32"/>
      <c r="H3" s="32"/>
      <c r="I3" s="32"/>
      <c r="J3" s="32"/>
      <c r="K3" s="34"/>
      <c r="L3" s="34"/>
      <c r="M3" s="34"/>
      <c r="N3" s="34"/>
      <c r="O3" s="34"/>
      <c r="P3" s="34"/>
    </row>
    <row r="4" spans="1:34" s="21" customFormat="1" ht="12.4" customHeight="1" x14ac:dyDescent="0.25">
      <c r="A4" s="30">
        <v>1</v>
      </c>
      <c r="B4" s="30">
        <v>0</v>
      </c>
      <c r="C4" s="30">
        <v>0</v>
      </c>
      <c r="D4" s="274"/>
      <c r="E4" s="50" t="s">
        <v>15</v>
      </c>
      <c r="F4" s="54" t="s">
        <v>16</v>
      </c>
      <c r="G4" s="57" t="s">
        <v>17</v>
      </c>
      <c r="H4" s="57" t="s">
        <v>18</v>
      </c>
      <c r="I4" s="57" t="s">
        <v>19</v>
      </c>
      <c r="J4" s="60">
        <v>593</v>
      </c>
      <c r="K4" s="60">
        <f>600+J4</f>
        <v>1193</v>
      </c>
      <c r="L4" s="60">
        <f>K4+600</f>
        <v>1793</v>
      </c>
      <c r="M4" s="60">
        <f>L4+600</f>
        <v>2393</v>
      </c>
      <c r="N4" s="60">
        <f>M4+600</f>
        <v>2993</v>
      </c>
      <c r="O4" s="60">
        <f>N4</f>
        <v>2993</v>
      </c>
      <c r="P4" s="60">
        <f>O4</f>
        <v>2993</v>
      </c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</row>
    <row r="5" spans="1:34" s="21" customFormat="1" ht="12.4" customHeight="1" x14ac:dyDescent="0.25">
      <c r="A5" s="30">
        <v>1</v>
      </c>
      <c r="B5" s="30">
        <v>0</v>
      </c>
      <c r="C5" s="30">
        <v>0</v>
      </c>
      <c r="D5" s="274"/>
      <c r="E5" s="50" t="s">
        <v>15</v>
      </c>
      <c r="F5" s="54" t="s">
        <v>20</v>
      </c>
      <c r="G5" s="57" t="s">
        <v>21</v>
      </c>
      <c r="H5" s="57" t="s">
        <v>22</v>
      </c>
      <c r="I5" s="57" t="s">
        <v>23</v>
      </c>
      <c r="J5" s="140">
        <v>0.1</v>
      </c>
      <c r="K5" s="140">
        <v>0.1</v>
      </c>
      <c r="L5" s="140">
        <v>0.1</v>
      </c>
      <c r="M5" s="140">
        <v>0.1</v>
      </c>
      <c r="N5" s="140">
        <v>0.1</v>
      </c>
      <c r="O5" s="140">
        <v>0</v>
      </c>
      <c r="P5" s="140">
        <v>0.1</v>
      </c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</row>
    <row r="6" spans="1:34" s="21" customFormat="1" ht="12.4" customHeight="1" x14ac:dyDescent="0.25">
      <c r="A6" s="30">
        <v>1</v>
      </c>
      <c r="B6" s="30">
        <v>0</v>
      </c>
      <c r="C6" s="30">
        <v>0</v>
      </c>
      <c r="D6" s="274"/>
      <c r="E6" s="50" t="s">
        <v>15</v>
      </c>
      <c r="F6" s="54" t="s">
        <v>24</v>
      </c>
      <c r="G6" s="57" t="s">
        <v>21</v>
      </c>
      <c r="H6" s="57" t="s">
        <v>22</v>
      </c>
      <c r="I6" s="57" t="s">
        <v>19</v>
      </c>
      <c r="J6" s="163">
        <v>0.79</v>
      </c>
      <c r="K6" s="163">
        <v>0.8</v>
      </c>
      <c r="L6" s="163">
        <v>0.8</v>
      </c>
      <c r="M6" s="163">
        <v>0.8</v>
      </c>
      <c r="N6" s="163">
        <v>0.8</v>
      </c>
      <c r="O6" s="163">
        <v>0.8</v>
      </c>
      <c r="P6" s="163">
        <v>0.8</v>
      </c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</row>
    <row r="7" spans="1:34" ht="12.4" customHeight="1" x14ac:dyDescent="0.25">
      <c r="A7" s="30">
        <v>1</v>
      </c>
      <c r="B7" s="30">
        <v>0</v>
      </c>
      <c r="C7" s="30">
        <v>0</v>
      </c>
      <c r="D7" s="274"/>
      <c r="E7" s="50" t="s">
        <v>15</v>
      </c>
      <c r="F7" s="54" t="s">
        <v>25</v>
      </c>
      <c r="G7" s="57" t="s">
        <v>21</v>
      </c>
      <c r="H7" s="57" t="s">
        <v>22</v>
      </c>
      <c r="I7" s="57" t="s">
        <v>23</v>
      </c>
      <c r="J7" s="288">
        <v>9.8000000000000004E-2</v>
      </c>
      <c r="K7" s="288">
        <v>9.8000000000000004E-2</v>
      </c>
      <c r="L7" s="288">
        <v>9.8000000000000004E-2</v>
      </c>
      <c r="M7" s="288">
        <v>9.8000000000000004E-2</v>
      </c>
      <c r="N7" s="288">
        <v>9.8000000000000004E-2</v>
      </c>
      <c r="O7" s="288">
        <v>0</v>
      </c>
      <c r="P7" s="288">
        <v>9.8000000000000004E-2</v>
      </c>
    </row>
    <row r="8" spans="1:34" ht="12.4" customHeight="1" x14ac:dyDescent="0.25">
      <c r="A8" s="30">
        <v>1</v>
      </c>
      <c r="B8" s="30">
        <v>0</v>
      </c>
      <c r="C8" s="30">
        <v>0</v>
      </c>
      <c r="D8" s="274"/>
      <c r="E8" s="158" t="s">
        <v>15</v>
      </c>
      <c r="F8" s="54" t="s">
        <v>26</v>
      </c>
      <c r="G8" s="57" t="s">
        <v>17</v>
      </c>
      <c r="H8" s="30" t="s">
        <v>18</v>
      </c>
      <c r="I8" s="57" t="s">
        <v>19</v>
      </c>
      <c r="J8" s="60">
        <v>10</v>
      </c>
      <c r="K8" s="60">
        <f>J8</f>
        <v>10</v>
      </c>
      <c r="L8" s="60">
        <v>11</v>
      </c>
      <c r="M8" s="60">
        <f>+L8+2</f>
        <v>13</v>
      </c>
      <c r="N8" s="60">
        <f>+M8+2</f>
        <v>15</v>
      </c>
      <c r="O8" s="60">
        <f>N8</f>
        <v>15</v>
      </c>
      <c r="P8" s="60">
        <f>O8</f>
        <v>15</v>
      </c>
    </row>
    <row r="9" spans="1:34" ht="12.4" customHeight="1" x14ac:dyDescent="0.25">
      <c r="A9" s="37">
        <v>1</v>
      </c>
      <c r="B9" s="37">
        <v>1</v>
      </c>
      <c r="C9" s="37">
        <v>0</v>
      </c>
      <c r="D9" s="273"/>
      <c r="E9" s="38" t="s">
        <v>1</v>
      </c>
      <c r="F9" s="39" t="s">
        <v>27</v>
      </c>
      <c r="G9" s="37"/>
      <c r="H9" s="37"/>
      <c r="I9" s="37"/>
      <c r="J9" s="37"/>
      <c r="K9" s="40"/>
      <c r="L9" s="40"/>
      <c r="M9" s="40"/>
      <c r="N9" s="40"/>
      <c r="O9" s="40"/>
      <c r="P9" s="40"/>
    </row>
    <row r="10" spans="1:34" ht="12.4" customHeight="1" x14ac:dyDescent="0.25">
      <c r="A10" s="30">
        <v>1</v>
      </c>
      <c r="B10" s="30">
        <v>1</v>
      </c>
      <c r="C10" s="30">
        <v>0</v>
      </c>
      <c r="D10" s="274"/>
      <c r="E10" s="158" t="s">
        <v>28</v>
      </c>
      <c r="F10" s="54" t="s">
        <v>29</v>
      </c>
      <c r="G10" s="57" t="s">
        <v>21</v>
      </c>
      <c r="H10" s="57" t="s">
        <v>22</v>
      </c>
      <c r="I10" s="57" t="s">
        <v>30</v>
      </c>
      <c r="J10" s="140">
        <v>0.84</v>
      </c>
      <c r="K10" s="140">
        <v>0.9</v>
      </c>
      <c r="L10" s="140">
        <v>0.9</v>
      </c>
      <c r="M10" s="140">
        <v>0.9</v>
      </c>
      <c r="N10" s="140">
        <v>0.9</v>
      </c>
      <c r="O10" s="140">
        <v>0.9</v>
      </c>
      <c r="P10" s="140">
        <v>0.9</v>
      </c>
    </row>
    <row r="11" spans="1:34" ht="12.4" customHeight="1" x14ac:dyDescent="0.25">
      <c r="A11" s="30">
        <v>1</v>
      </c>
      <c r="B11" s="30">
        <v>1</v>
      </c>
      <c r="C11" s="30">
        <v>0</v>
      </c>
      <c r="D11" s="274"/>
      <c r="E11" s="158" t="s">
        <v>28</v>
      </c>
      <c r="F11" s="54" t="s">
        <v>31</v>
      </c>
      <c r="G11" s="57" t="s">
        <v>21</v>
      </c>
      <c r="H11" s="57" t="s">
        <v>18</v>
      </c>
      <c r="I11" s="57" t="s">
        <v>23</v>
      </c>
      <c r="J11" s="60">
        <v>148</v>
      </c>
      <c r="K11" s="60">
        <v>148</v>
      </c>
      <c r="L11" s="60">
        <v>148</v>
      </c>
      <c r="M11" s="60">
        <v>148</v>
      </c>
      <c r="N11" s="60">
        <v>148</v>
      </c>
      <c r="O11" s="60">
        <v>0</v>
      </c>
      <c r="P11" s="60">
        <v>148</v>
      </c>
    </row>
    <row r="12" spans="1:34" ht="12.4" customHeight="1" x14ac:dyDescent="0.25">
      <c r="A12" s="30">
        <v>1</v>
      </c>
      <c r="B12" s="30">
        <v>1</v>
      </c>
      <c r="C12" s="30">
        <v>0</v>
      </c>
      <c r="D12" s="274"/>
      <c r="E12" s="158" t="s">
        <v>28</v>
      </c>
      <c r="F12" s="54" t="s">
        <v>32</v>
      </c>
      <c r="G12" s="57" t="s">
        <v>21</v>
      </c>
      <c r="H12" s="57" t="s">
        <v>18</v>
      </c>
      <c r="I12" s="57" t="s">
        <v>23</v>
      </c>
      <c r="J12" s="60">
        <v>3.8</v>
      </c>
      <c r="K12" s="60">
        <v>3.8</v>
      </c>
      <c r="L12" s="60">
        <v>3.8</v>
      </c>
      <c r="M12" s="60">
        <v>3.8</v>
      </c>
      <c r="N12" s="60">
        <v>3.8</v>
      </c>
      <c r="O12" s="60">
        <v>0</v>
      </c>
      <c r="P12" s="60">
        <v>3.8</v>
      </c>
    </row>
    <row r="13" spans="1:34" s="64" customFormat="1" ht="12.4" customHeight="1" x14ac:dyDescent="0.25">
      <c r="A13" s="30">
        <v>1</v>
      </c>
      <c r="B13" s="30">
        <v>1</v>
      </c>
      <c r="C13" s="30">
        <v>0</v>
      </c>
      <c r="D13" s="274"/>
      <c r="E13" s="158" t="s">
        <v>28</v>
      </c>
      <c r="F13" s="54" t="s">
        <v>33</v>
      </c>
      <c r="G13" s="57" t="s">
        <v>21</v>
      </c>
      <c r="H13" s="57" t="s">
        <v>22</v>
      </c>
      <c r="I13" s="57" t="s">
        <v>19</v>
      </c>
      <c r="J13" s="60">
        <v>3.93</v>
      </c>
      <c r="K13" s="60">
        <v>3.95</v>
      </c>
      <c r="L13" s="60">
        <v>4</v>
      </c>
      <c r="M13" s="60">
        <v>4.05</v>
      </c>
      <c r="N13" s="60">
        <v>4.0999999999999996</v>
      </c>
      <c r="O13" s="60">
        <v>4.0999999999999996</v>
      </c>
      <c r="P13" s="60">
        <v>4.0999999999999996</v>
      </c>
    </row>
    <row r="14" spans="1:34" ht="12.4" customHeight="1" x14ac:dyDescent="0.25">
      <c r="A14" s="30">
        <v>1</v>
      </c>
      <c r="B14" s="30">
        <v>1</v>
      </c>
      <c r="C14" s="30">
        <v>0</v>
      </c>
      <c r="D14" s="274"/>
      <c r="E14" s="158" t="s">
        <v>28</v>
      </c>
      <c r="F14" s="54" t="s">
        <v>34</v>
      </c>
      <c r="G14" s="57" t="s">
        <v>21</v>
      </c>
      <c r="H14" s="57" t="s">
        <v>22</v>
      </c>
      <c r="I14" s="57" t="s">
        <v>23</v>
      </c>
      <c r="J14" s="163">
        <v>0.1</v>
      </c>
      <c r="K14" s="163">
        <v>0.1</v>
      </c>
      <c r="L14" s="163">
        <v>0.1</v>
      </c>
      <c r="M14" s="163">
        <v>0.1</v>
      </c>
      <c r="N14" s="163">
        <v>0.1</v>
      </c>
      <c r="O14" s="163">
        <v>0</v>
      </c>
      <c r="P14" s="163">
        <v>0.1</v>
      </c>
    </row>
    <row r="15" spans="1:34" ht="12.4" customHeight="1" x14ac:dyDescent="0.25">
      <c r="A15" s="30">
        <v>1</v>
      </c>
      <c r="B15" s="30">
        <v>1</v>
      </c>
      <c r="C15" s="30">
        <v>0</v>
      </c>
      <c r="D15" s="274"/>
      <c r="E15" s="158" t="s">
        <v>28</v>
      </c>
      <c r="F15" s="54" t="s">
        <v>35</v>
      </c>
      <c r="G15" s="57" t="s">
        <v>21</v>
      </c>
      <c r="H15" s="57" t="s">
        <v>22</v>
      </c>
      <c r="I15" s="57" t="s">
        <v>19</v>
      </c>
      <c r="J15" s="289">
        <v>0.26800000000000002</v>
      </c>
      <c r="K15" s="289">
        <v>0.26800000000000002</v>
      </c>
      <c r="L15" s="289">
        <v>0.26800000000000002</v>
      </c>
      <c r="M15" s="289">
        <v>0.27</v>
      </c>
      <c r="N15" s="289">
        <v>0.28000000000000003</v>
      </c>
      <c r="O15" s="289">
        <v>0.28000000000000003</v>
      </c>
      <c r="P15" s="289">
        <v>0.28000000000000003</v>
      </c>
    </row>
    <row r="16" spans="1:34" s="164" customFormat="1" x14ac:dyDescent="0.25">
      <c r="A16" s="43">
        <v>1</v>
      </c>
      <c r="B16" s="43">
        <v>1</v>
      </c>
      <c r="C16" s="43">
        <v>1</v>
      </c>
      <c r="D16" s="275" t="s">
        <v>36</v>
      </c>
      <c r="E16" s="44" t="s">
        <v>2</v>
      </c>
      <c r="F16" s="45" t="s">
        <v>37</v>
      </c>
      <c r="G16" s="43"/>
      <c r="H16" s="43"/>
      <c r="I16" s="43"/>
      <c r="J16" s="43"/>
      <c r="K16" s="46"/>
      <c r="L16" s="46"/>
      <c r="M16" s="46"/>
      <c r="N16" s="46"/>
      <c r="O16" s="46"/>
      <c r="P16" s="46"/>
    </row>
    <row r="17" spans="1:34" s="21" customFormat="1" ht="12.4" customHeight="1" x14ac:dyDescent="0.25">
      <c r="A17" s="29">
        <v>1</v>
      </c>
      <c r="B17" s="29">
        <v>1</v>
      </c>
      <c r="C17" s="29">
        <v>1</v>
      </c>
      <c r="D17" s="274"/>
      <c r="E17" s="50" t="s">
        <v>38</v>
      </c>
      <c r="F17" s="54" t="s">
        <v>39</v>
      </c>
      <c r="G17" s="57" t="s">
        <v>21</v>
      </c>
      <c r="H17" s="55" t="s">
        <v>18</v>
      </c>
      <c r="I17" s="57" t="s">
        <v>40</v>
      </c>
      <c r="J17" s="51" t="s">
        <v>646</v>
      </c>
      <c r="K17" s="51">
        <v>0</v>
      </c>
      <c r="L17" s="51">
        <v>1</v>
      </c>
      <c r="M17" s="51">
        <v>1</v>
      </c>
      <c r="N17" s="51">
        <f>1+1</f>
        <v>2</v>
      </c>
      <c r="O17" s="51">
        <v>2</v>
      </c>
      <c r="P17" s="51">
        <v>2</v>
      </c>
    </row>
    <row r="18" spans="1:34" ht="12.4" customHeight="1" x14ac:dyDescent="0.25">
      <c r="A18" s="30">
        <v>1</v>
      </c>
      <c r="B18" s="30">
        <v>1</v>
      </c>
      <c r="C18" s="30">
        <v>1</v>
      </c>
      <c r="D18" s="274"/>
      <c r="E18" s="50" t="s">
        <v>38</v>
      </c>
      <c r="F18" s="54" t="s">
        <v>41</v>
      </c>
      <c r="G18" s="57" t="s">
        <v>21</v>
      </c>
      <c r="H18" s="57" t="s">
        <v>18</v>
      </c>
      <c r="I18" s="57" t="s">
        <v>40</v>
      </c>
      <c r="J18" s="60" t="s">
        <v>646</v>
      </c>
      <c r="K18" s="51">
        <v>0</v>
      </c>
      <c r="L18" s="60">
        <v>2</v>
      </c>
      <c r="M18" s="60">
        <f>L18</f>
        <v>2</v>
      </c>
      <c r="N18" s="60">
        <f>M18</f>
        <v>2</v>
      </c>
      <c r="O18" s="60">
        <f>N18</f>
        <v>2</v>
      </c>
      <c r="P18" s="60">
        <f>O18</f>
        <v>2</v>
      </c>
    </row>
    <row r="19" spans="1:34" x14ac:dyDescent="0.25">
      <c r="A19" s="43">
        <v>1</v>
      </c>
      <c r="B19" s="43">
        <v>1</v>
      </c>
      <c r="C19" s="43">
        <v>2</v>
      </c>
      <c r="D19" s="275" t="s">
        <v>42</v>
      </c>
      <c r="E19" s="44" t="s">
        <v>2</v>
      </c>
      <c r="F19" s="45" t="s">
        <v>43</v>
      </c>
      <c r="G19" s="43"/>
      <c r="H19" s="43"/>
      <c r="I19" s="43"/>
      <c r="J19" s="43"/>
      <c r="K19" s="62"/>
      <c r="L19" s="62"/>
      <c r="M19" s="62"/>
      <c r="N19" s="62"/>
      <c r="O19" s="62"/>
      <c r="P19" s="62"/>
    </row>
    <row r="20" spans="1:34" x14ac:dyDescent="0.25">
      <c r="A20" s="30">
        <v>1</v>
      </c>
      <c r="B20" s="30">
        <v>1</v>
      </c>
      <c r="C20" s="30">
        <v>2</v>
      </c>
      <c r="D20" s="274"/>
      <c r="E20" s="50" t="s">
        <v>38</v>
      </c>
      <c r="F20" s="54" t="s">
        <v>44</v>
      </c>
      <c r="G20" s="57" t="s">
        <v>21</v>
      </c>
      <c r="H20" s="57" t="s">
        <v>18</v>
      </c>
      <c r="I20" s="57" t="s">
        <v>19</v>
      </c>
      <c r="J20" s="60">
        <v>34</v>
      </c>
      <c r="K20" s="51">
        <v>34</v>
      </c>
      <c r="L20" s="51">
        <v>35</v>
      </c>
      <c r="M20" s="51">
        <v>40</v>
      </c>
      <c r="N20" s="51">
        <v>45</v>
      </c>
      <c r="O20" s="51">
        <v>45</v>
      </c>
      <c r="P20" s="51">
        <f>O20</f>
        <v>45</v>
      </c>
    </row>
    <row r="21" spans="1:34" s="21" customFormat="1" ht="12.4" customHeight="1" x14ac:dyDescent="0.25">
      <c r="A21" s="29">
        <v>1</v>
      </c>
      <c r="B21" s="29">
        <v>1</v>
      </c>
      <c r="C21" s="29">
        <v>2</v>
      </c>
      <c r="D21" s="274"/>
      <c r="E21" s="50" t="s">
        <v>38</v>
      </c>
      <c r="F21" s="54" t="s">
        <v>45</v>
      </c>
      <c r="G21" s="57" t="s">
        <v>17</v>
      </c>
      <c r="H21" s="57" t="s">
        <v>18</v>
      </c>
      <c r="I21" s="57" t="s">
        <v>40</v>
      </c>
      <c r="J21" s="60">
        <v>9</v>
      </c>
      <c r="K21" s="60">
        <f>8</f>
        <v>8</v>
      </c>
      <c r="L21" s="60">
        <f>21+K21</f>
        <v>29</v>
      </c>
      <c r="M21" s="60">
        <f>L21+12</f>
        <v>41</v>
      </c>
      <c r="N21" s="60">
        <f>M21+2</f>
        <v>43</v>
      </c>
      <c r="O21" s="60">
        <f>N21</f>
        <v>43</v>
      </c>
      <c r="P21" s="60">
        <f>O21</f>
        <v>43</v>
      </c>
    </row>
    <row r="22" spans="1:34" s="21" customFormat="1" ht="12.4" customHeight="1" x14ac:dyDescent="0.25">
      <c r="A22" s="29">
        <v>1</v>
      </c>
      <c r="B22" s="29">
        <v>1</v>
      </c>
      <c r="C22" s="29">
        <v>2</v>
      </c>
      <c r="D22" s="274"/>
      <c r="E22" s="50" t="s">
        <v>38</v>
      </c>
      <c r="F22" s="54" t="s">
        <v>46</v>
      </c>
      <c r="G22" s="57" t="s">
        <v>21</v>
      </c>
      <c r="H22" s="57" t="s">
        <v>18</v>
      </c>
      <c r="I22" s="57" t="s">
        <v>40</v>
      </c>
      <c r="J22" s="60">
        <v>15</v>
      </c>
      <c r="K22" s="60">
        <f>4</f>
        <v>4</v>
      </c>
      <c r="L22" s="60">
        <f>K22+6</f>
        <v>10</v>
      </c>
      <c r="M22" s="60">
        <f>L22</f>
        <v>10</v>
      </c>
      <c r="N22" s="60">
        <f>M22</f>
        <v>10</v>
      </c>
      <c r="O22" s="60">
        <f>N22</f>
        <v>10</v>
      </c>
      <c r="P22" s="60">
        <f>O22</f>
        <v>10</v>
      </c>
    </row>
    <row r="23" spans="1:34" s="164" customFormat="1" x14ac:dyDescent="0.25">
      <c r="A23" s="43">
        <v>1</v>
      </c>
      <c r="B23" s="43">
        <v>1</v>
      </c>
      <c r="C23" s="43">
        <v>3</v>
      </c>
      <c r="D23" s="275" t="s">
        <v>47</v>
      </c>
      <c r="E23" s="44" t="s">
        <v>2</v>
      </c>
      <c r="F23" s="45" t="s">
        <v>48</v>
      </c>
      <c r="G23" s="43"/>
      <c r="H23" s="43"/>
      <c r="I23" s="43"/>
      <c r="J23" s="43"/>
      <c r="K23" s="62"/>
      <c r="L23" s="62"/>
      <c r="M23" s="62"/>
      <c r="N23" s="62"/>
      <c r="O23" s="62"/>
      <c r="P23" s="62"/>
    </row>
    <row r="24" spans="1:34" s="21" customFormat="1" ht="12.4" customHeight="1" x14ac:dyDescent="0.25">
      <c r="A24" s="29">
        <v>1</v>
      </c>
      <c r="B24" s="29">
        <v>1</v>
      </c>
      <c r="C24" s="29">
        <v>3</v>
      </c>
      <c r="D24" s="274"/>
      <c r="E24" s="50" t="s">
        <v>38</v>
      </c>
      <c r="F24" s="54" t="s">
        <v>49</v>
      </c>
      <c r="G24" s="57" t="s">
        <v>21</v>
      </c>
      <c r="H24" s="57" t="s">
        <v>18</v>
      </c>
      <c r="I24" s="57" t="s">
        <v>19</v>
      </c>
      <c r="J24" s="60">
        <v>8</v>
      </c>
      <c r="K24" s="60">
        <v>8</v>
      </c>
      <c r="L24" s="60">
        <v>9</v>
      </c>
      <c r="M24" s="60">
        <v>10</v>
      </c>
      <c r="N24" s="60">
        <v>10</v>
      </c>
      <c r="O24" s="60">
        <v>10</v>
      </c>
      <c r="P24" s="60">
        <v>10</v>
      </c>
    </row>
    <row r="25" spans="1:34" ht="12.4" customHeight="1" x14ac:dyDescent="0.25">
      <c r="A25" s="30">
        <v>1</v>
      </c>
      <c r="B25" s="30">
        <v>1</v>
      </c>
      <c r="C25" s="30">
        <v>3</v>
      </c>
      <c r="D25" s="274"/>
      <c r="E25" s="50" t="s">
        <v>38</v>
      </c>
      <c r="F25" s="54" t="s">
        <v>50</v>
      </c>
      <c r="G25" s="57" t="s">
        <v>17</v>
      </c>
      <c r="H25" s="57" t="s">
        <v>18</v>
      </c>
      <c r="I25" s="57" t="s">
        <v>40</v>
      </c>
      <c r="J25" s="60" t="s">
        <v>646</v>
      </c>
      <c r="K25" s="60">
        <v>1</v>
      </c>
      <c r="L25" s="60">
        <v>2</v>
      </c>
      <c r="M25" s="60">
        <v>2</v>
      </c>
      <c r="N25" s="60">
        <v>2</v>
      </c>
      <c r="O25" s="60">
        <v>2</v>
      </c>
      <c r="P25" s="60">
        <v>2</v>
      </c>
    </row>
    <row r="26" spans="1:34" ht="12" customHeight="1" x14ac:dyDescent="0.25">
      <c r="A26" s="43">
        <v>1</v>
      </c>
      <c r="B26" s="43">
        <v>1</v>
      </c>
      <c r="C26" s="43">
        <v>4</v>
      </c>
      <c r="D26" s="275" t="s">
        <v>51</v>
      </c>
      <c r="E26" s="44" t="s">
        <v>2</v>
      </c>
      <c r="F26" s="45" t="s">
        <v>52</v>
      </c>
      <c r="G26" s="43"/>
      <c r="H26" s="43"/>
      <c r="I26" s="43"/>
      <c r="J26" s="43"/>
      <c r="K26" s="62"/>
      <c r="L26" s="62"/>
      <c r="M26" s="62"/>
      <c r="N26" s="62"/>
      <c r="O26" s="62"/>
      <c r="P26" s="62"/>
    </row>
    <row r="27" spans="1:34" ht="12.4" customHeight="1" x14ac:dyDescent="0.25">
      <c r="A27" s="30">
        <v>1</v>
      </c>
      <c r="B27" s="30">
        <v>1</v>
      </c>
      <c r="C27" s="30">
        <v>4</v>
      </c>
      <c r="D27" s="274"/>
      <c r="E27" s="50" t="s">
        <v>38</v>
      </c>
      <c r="F27" s="54" t="s">
        <v>53</v>
      </c>
      <c r="G27" s="57" t="s">
        <v>17</v>
      </c>
      <c r="H27" s="57" t="s">
        <v>18</v>
      </c>
      <c r="I27" s="57" t="s">
        <v>19</v>
      </c>
      <c r="J27" s="60">
        <v>3</v>
      </c>
      <c r="K27" s="60">
        <f>J27</f>
        <v>3</v>
      </c>
      <c r="L27" s="60">
        <f>K27</f>
        <v>3</v>
      </c>
      <c r="M27" s="60">
        <f>L27</f>
        <v>3</v>
      </c>
      <c r="N27" s="60">
        <f>+M27+1</f>
        <v>4</v>
      </c>
      <c r="O27" s="60">
        <f>N27</f>
        <v>4</v>
      </c>
      <c r="P27" s="60">
        <f>O27</f>
        <v>4</v>
      </c>
    </row>
    <row r="28" spans="1:34" ht="12.4" customHeight="1" x14ac:dyDescent="0.25">
      <c r="A28" s="30">
        <v>1</v>
      </c>
      <c r="B28" s="30">
        <v>1</v>
      </c>
      <c r="C28" s="30">
        <v>4</v>
      </c>
      <c r="D28" s="274"/>
      <c r="E28" s="50" t="s">
        <v>38</v>
      </c>
      <c r="F28" s="54" t="s">
        <v>54</v>
      </c>
      <c r="G28" s="57" t="s">
        <v>17</v>
      </c>
      <c r="H28" s="57" t="s">
        <v>18</v>
      </c>
      <c r="I28" s="57" t="s">
        <v>30</v>
      </c>
      <c r="J28" s="60">
        <v>150</v>
      </c>
      <c r="K28" s="60">
        <v>150</v>
      </c>
      <c r="L28" s="60">
        <v>170</v>
      </c>
      <c r="M28" s="60">
        <v>170</v>
      </c>
      <c r="N28" s="60">
        <v>180</v>
      </c>
      <c r="O28" s="60">
        <v>0</v>
      </c>
      <c r="P28" s="60">
        <v>180</v>
      </c>
    </row>
    <row r="29" spans="1:34" ht="12.4" customHeight="1" x14ac:dyDescent="0.25">
      <c r="A29" s="43">
        <v>1</v>
      </c>
      <c r="B29" s="43">
        <v>1</v>
      </c>
      <c r="C29" s="43">
        <v>5</v>
      </c>
      <c r="D29" s="275" t="s">
        <v>55</v>
      </c>
      <c r="E29" s="44" t="s">
        <v>2</v>
      </c>
      <c r="F29" s="45" t="s">
        <v>56</v>
      </c>
      <c r="G29" s="43"/>
      <c r="H29" s="43"/>
      <c r="I29" s="43"/>
      <c r="J29" s="43"/>
      <c r="K29" s="62"/>
      <c r="L29" s="62"/>
      <c r="M29" s="62"/>
      <c r="N29" s="62"/>
      <c r="O29" s="62"/>
      <c r="P29" s="62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  <c r="AG29" s="164"/>
      <c r="AH29" s="164"/>
    </row>
    <row r="30" spans="1:34" ht="12.4" customHeight="1" x14ac:dyDescent="0.25">
      <c r="A30" s="30">
        <v>1</v>
      </c>
      <c r="B30" s="30">
        <v>1</v>
      </c>
      <c r="C30" s="30">
        <v>5</v>
      </c>
      <c r="D30" s="277"/>
      <c r="E30" s="158" t="s">
        <v>38</v>
      </c>
      <c r="F30" s="54" t="s">
        <v>57</v>
      </c>
      <c r="G30" s="57" t="s">
        <v>21</v>
      </c>
      <c r="H30" s="57" t="s">
        <v>22</v>
      </c>
      <c r="I30" s="57" t="s">
        <v>19</v>
      </c>
      <c r="J30" s="140">
        <v>0.1</v>
      </c>
      <c r="K30" s="140">
        <v>0.1</v>
      </c>
      <c r="L30" s="140">
        <v>0.12</v>
      </c>
      <c r="M30" s="140">
        <v>0.15</v>
      </c>
      <c r="N30" s="140">
        <v>0.18</v>
      </c>
      <c r="O30" s="140">
        <v>0.2</v>
      </c>
      <c r="P30" s="140">
        <v>0.2</v>
      </c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</row>
    <row r="31" spans="1:34" ht="12.4" customHeight="1" x14ac:dyDescent="0.25">
      <c r="A31" s="30">
        <v>1</v>
      </c>
      <c r="B31" s="30">
        <v>1</v>
      </c>
      <c r="C31" s="30">
        <v>5</v>
      </c>
      <c r="D31" s="274"/>
      <c r="E31" s="50" t="s">
        <v>38</v>
      </c>
      <c r="F31" s="54" t="s">
        <v>58</v>
      </c>
      <c r="G31" s="57" t="s">
        <v>21</v>
      </c>
      <c r="H31" s="57" t="s">
        <v>18</v>
      </c>
      <c r="I31" s="57" t="s">
        <v>59</v>
      </c>
      <c r="J31" s="60">
        <v>34</v>
      </c>
      <c r="K31" s="60">
        <v>34</v>
      </c>
      <c r="L31" s="60">
        <v>34</v>
      </c>
      <c r="M31" s="60">
        <v>33</v>
      </c>
      <c r="N31" s="60">
        <v>33</v>
      </c>
      <c r="O31" s="60">
        <v>33</v>
      </c>
      <c r="P31" s="60">
        <v>33</v>
      </c>
    </row>
    <row r="32" spans="1:34" ht="12.4" customHeight="1" x14ac:dyDescent="0.25">
      <c r="A32" s="30">
        <v>1</v>
      </c>
      <c r="B32" s="30">
        <v>1</v>
      </c>
      <c r="C32" s="30">
        <v>5</v>
      </c>
      <c r="D32" s="274"/>
      <c r="E32" s="50" t="s">
        <v>38</v>
      </c>
      <c r="F32" s="54" t="s">
        <v>60</v>
      </c>
      <c r="G32" s="57" t="s">
        <v>61</v>
      </c>
      <c r="H32" s="57" t="s">
        <v>18</v>
      </c>
      <c r="I32" s="57" t="s">
        <v>40</v>
      </c>
      <c r="J32" s="60" t="s">
        <v>646</v>
      </c>
      <c r="K32" s="60">
        <v>1</v>
      </c>
      <c r="L32" s="60">
        <v>1</v>
      </c>
      <c r="M32" s="60">
        <v>2</v>
      </c>
      <c r="N32" s="60">
        <v>2</v>
      </c>
      <c r="O32" s="60">
        <v>2</v>
      </c>
      <c r="P32" s="60">
        <v>2</v>
      </c>
    </row>
    <row r="33" spans="1:34" ht="12.4" customHeight="1" x14ac:dyDescent="0.25">
      <c r="A33" s="30">
        <v>1</v>
      </c>
      <c r="B33" s="30">
        <v>1</v>
      </c>
      <c r="C33" s="30">
        <v>5</v>
      </c>
      <c r="D33" s="274"/>
      <c r="E33" s="50" t="s">
        <v>38</v>
      </c>
      <c r="F33" s="54" t="s">
        <v>62</v>
      </c>
      <c r="G33" s="57" t="s">
        <v>61</v>
      </c>
      <c r="H33" s="57" t="s">
        <v>18</v>
      </c>
      <c r="I33" s="57" t="s">
        <v>19</v>
      </c>
      <c r="J33" s="60">
        <v>35</v>
      </c>
      <c r="K33" s="60">
        <v>35</v>
      </c>
      <c r="L33" s="60">
        <f>35+16</f>
        <v>51</v>
      </c>
      <c r="M33" s="60">
        <v>51</v>
      </c>
      <c r="N33" s="60">
        <v>59</v>
      </c>
      <c r="O33" s="60">
        <f>35+16+8</f>
        <v>59</v>
      </c>
      <c r="P33" s="60">
        <f>35+16+8</f>
        <v>59</v>
      </c>
    </row>
    <row r="34" spans="1:34" ht="12.4" customHeight="1" x14ac:dyDescent="0.25">
      <c r="A34" s="37">
        <v>1</v>
      </c>
      <c r="B34" s="37">
        <v>2</v>
      </c>
      <c r="C34" s="37">
        <v>0</v>
      </c>
      <c r="D34" s="273"/>
      <c r="E34" s="38" t="s">
        <v>1</v>
      </c>
      <c r="F34" s="39" t="s">
        <v>63</v>
      </c>
      <c r="G34" s="37"/>
      <c r="H34" s="37"/>
      <c r="I34" s="37"/>
      <c r="J34" s="37"/>
      <c r="K34" s="63"/>
      <c r="L34" s="63"/>
      <c r="M34" s="63"/>
      <c r="N34" s="63"/>
      <c r="O34" s="63"/>
      <c r="P34" s="63"/>
    </row>
    <row r="35" spans="1:34" ht="12.4" customHeight="1" x14ac:dyDescent="0.25">
      <c r="A35" s="30">
        <v>1</v>
      </c>
      <c r="B35" s="30">
        <v>2</v>
      </c>
      <c r="C35" s="30">
        <v>0</v>
      </c>
      <c r="D35" s="274"/>
      <c r="E35" s="50" t="s">
        <v>28</v>
      </c>
      <c r="F35" s="54" t="s">
        <v>64</v>
      </c>
      <c r="G35" s="57" t="s">
        <v>17</v>
      </c>
      <c r="H35" s="57" t="s">
        <v>18</v>
      </c>
      <c r="I35" s="57" t="s">
        <v>40</v>
      </c>
      <c r="J35" s="60">
        <v>1</v>
      </c>
      <c r="K35" s="60">
        <f>4</f>
        <v>4</v>
      </c>
      <c r="L35" s="60">
        <f>+K35+3</f>
        <v>7</v>
      </c>
      <c r="M35" s="60">
        <f>+L35+3</f>
        <v>10</v>
      </c>
      <c r="N35" s="60">
        <f>+M35+2</f>
        <v>12</v>
      </c>
      <c r="O35" s="60">
        <f>N35</f>
        <v>12</v>
      </c>
      <c r="P35" s="60">
        <f>O35</f>
        <v>12</v>
      </c>
    </row>
    <row r="36" spans="1:34" ht="12.4" customHeight="1" x14ac:dyDescent="0.25">
      <c r="A36" s="30">
        <v>1</v>
      </c>
      <c r="B36" s="30">
        <v>2</v>
      </c>
      <c r="C36" s="30">
        <v>0</v>
      </c>
      <c r="D36" s="274"/>
      <c r="E36" s="50" t="s">
        <v>28</v>
      </c>
      <c r="F36" s="54" t="s">
        <v>65</v>
      </c>
      <c r="G36" s="57" t="s">
        <v>17</v>
      </c>
      <c r="H36" s="57" t="s">
        <v>22</v>
      </c>
      <c r="I36" s="57" t="s">
        <v>19</v>
      </c>
      <c r="J36" s="140">
        <v>0.15</v>
      </c>
      <c r="K36" s="140">
        <v>0.15</v>
      </c>
      <c r="L36" s="140">
        <v>0.25</v>
      </c>
      <c r="M36" s="140">
        <v>0.35</v>
      </c>
      <c r="N36" s="140">
        <v>0.45</v>
      </c>
      <c r="O36" s="140">
        <v>0.5</v>
      </c>
      <c r="P36" s="140">
        <v>0.5</v>
      </c>
    </row>
    <row r="37" spans="1:34" ht="12.4" customHeight="1" x14ac:dyDescent="0.25">
      <c r="A37" s="30">
        <v>1</v>
      </c>
      <c r="B37" s="30">
        <v>2</v>
      </c>
      <c r="C37" s="30">
        <v>0</v>
      </c>
      <c r="D37" s="274"/>
      <c r="E37" s="50" t="s">
        <v>28</v>
      </c>
      <c r="F37" s="54" t="s">
        <v>66</v>
      </c>
      <c r="G37" s="57" t="s">
        <v>17</v>
      </c>
      <c r="H37" s="57" t="s">
        <v>18</v>
      </c>
      <c r="I37" s="57" t="s">
        <v>23</v>
      </c>
      <c r="J37" s="60">
        <v>4.4000000000000004</v>
      </c>
      <c r="K37" s="60">
        <v>4.4000000000000004</v>
      </c>
      <c r="L37" s="60">
        <v>4.4000000000000004</v>
      </c>
      <c r="M37" s="60">
        <v>4.4000000000000004</v>
      </c>
      <c r="N37" s="60">
        <v>4.4000000000000004</v>
      </c>
      <c r="O37" s="60">
        <v>0</v>
      </c>
      <c r="P37" s="60">
        <v>4.4000000000000004</v>
      </c>
    </row>
    <row r="38" spans="1:34" ht="12.4" customHeight="1" x14ac:dyDescent="0.25">
      <c r="A38" s="30">
        <v>1</v>
      </c>
      <c r="B38" s="30">
        <v>2</v>
      </c>
      <c r="C38" s="30">
        <v>0</v>
      </c>
      <c r="D38" s="274"/>
      <c r="E38" s="50" t="s">
        <v>28</v>
      </c>
      <c r="F38" s="54" t="s">
        <v>67</v>
      </c>
      <c r="G38" s="57" t="s">
        <v>17</v>
      </c>
      <c r="H38" s="57" t="s">
        <v>18</v>
      </c>
      <c r="I38" s="57" t="s">
        <v>40</v>
      </c>
      <c r="J38" s="60">
        <v>0</v>
      </c>
      <c r="K38" s="60">
        <v>3</v>
      </c>
      <c r="L38" s="60">
        <v>6</v>
      </c>
      <c r="M38" s="60">
        <v>9</v>
      </c>
      <c r="N38" s="60">
        <v>10</v>
      </c>
      <c r="O38" s="60">
        <v>10</v>
      </c>
      <c r="P38" s="60">
        <v>10</v>
      </c>
    </row>
    <row r="39" spans="1:34" ht="12.4" customHeight="1" x14ac:dyDescent="0.25">
      <c r="A39" s="30">
        <v>1</v>
      </c>
      <c r="B39" s="30">
        <v>2</v>
      </c>
      <c r="C39" s="30">
        <v>0</v>
      </c>
      <c r="D39" s="274"/>
      <c r="E39" s="50" t="s">
        <v>28</v>
      </c>
      <c r="F39" s="54" t="s">
        <v>68</v>
      </c>
      <c r="G39" s="57" t="s">
        <v>61</v>
      </c>
      <c r="H39" s="57" t="s">
        <v>18</v>
      </c>
      <c r="I39" s="57" t="s">
        <v>19</v>
      </c>
      <c r="J39" s="60">
        <v>0</v>
      </c>
      <c r="K39" s="60">
        <f>100</f>
        <v>100</v>
      </c>
      <c r="L39" s="60">
        <v>200</v>
      </c>
      <c r="M39" s="60">
        <v>250</v>
      </c>
      <c r="N39" s="60">
        <v>250</v>
      </c>
      <c r="O39" s="60">
        <v>250</v>
      </c>
      <c r="P39" s="60">
        <v>250</v>
      </c>
    </row>
    <row r="40" spans="1:34" ht="12.4" customHeight="1" x14ac:dyDescent="0.25">
      <c r="A40" s="43">
        <v>1</v>
      </c>
      <c r="B40" s="43">
        <v>2</v>
      </c>
      <c r="C40" s="43">
        <v>1</v>
      </c>
      <c r="D40" s="275" t="s">
        <v>69</v>
      </c>
      <c r="E40" s="44" t="s">
        <v>2</v>
      </c>
      <c r="F40" s="45" t="s">
        <v>70</v>
      </c>
      <c r="G40" s="43"/>
      <c r="H40" s="43"/>
      <c r="I40" s="43"/>
      <c r="J40" s="43"/>
      <c r="K40" s="62"/>
      <c r="L40" s="62"/>
      <c r="M40" s="62"/>
      <c r="N40" s="62"/>
      <c r="O40" s="62"/>
      <c r="P40" s="62"/>
    </row>
    <row r="41" spans="1:34" ht="12.4" customHeight="1" x14ac:dyDescent="0.25">
      <c r="A41" s="30">
        <v>1</v>
      </c>
      <c r="B41" s="30">
        <v>2</v>
      </c>
      <c r="C41" s="30">
        <v>1</v>
      </c>
      <c r="D41" s="274"/>
      <c r="E41" s="50" t="s">
        <v>38</v>
      </c>
      <c r="F41" s="54" t="s">
        <v>71</v>
      </c>
      <c r="G41" s="57" t="s">
        <v>21</v>
      </c>
      <c r="H41" s="57" t="s">
        <v>22</v>
      </c>
      <c r="I41" s="57" t="s">
        <v>40</v>
      </c>
      <c r="J41" s="140">
        <v>0</v>
      </c>
      <c r="K41" s="140">
        <v>0</v>
      </c>
      <c r="L41" s="140">
        <v>0.2</v>
      </c>
      <c r="M41" s="140">
        <v>0.6</v>
      </c>
      <c r="N41" s="140">
        <v>0.8</v>
      </c>
      <c r="O41" s="140">
        <v>1</v>
      </c>
      <c r="P41" s="140">
        <v>1</v>
      </c>
    </row>
    <row r="42" spans="1:34" ht="12.4" customHeight="1" x14ac:dyDescent="0.25">
      <c r="A42" s="30">
        <v>1</v>
      </c>
      <c r="B42" s="30">
        <v>2</v>
      </c>
      <c r="C42" s="30">
        <v>1</v>
      </c>
      <c r="D42" s="274"/>
      <c r="E42" s="50" t="s">
        <v>38</v>
      </c>
      <c r="F42" s="54" t="s">
        <v>72</v>
      </c>
      <c r="G42" s="57" t="s">
        <v>21</v>
      </c>
      <c r="H42" s="57" t="s">
        <v>18</v>
      </c>
      <c r="I42" s="57" t="s">
        <v>40</v>
      </c>
      <c r="J42" s="60">
        <v>4</v>
      </c>
      <c r="K42" s="60">
        <f>4</f>
        <v>4</v>
      </c>
      <c r="L42" s="60">
        <f>+K42+2</f>
        <v>6</v>
      </c>
      <c r="M42" s="60">
        <f>+L42+2</f>
        <v>8</v>
      </c>
      <c r="N42" s="60">
        <v>10</v>
      </c>
      <c r="O42" s="60">
        <f>N42</f>
        <v>10</v>
      </c>
      <c r="P42" s="60">
        <f>O42</f>
        <v>10</v>
      </c>
    </row>
    <row r="43" spans="1:34" ht="12.4" customHeight="1" x14ac:dyDescent="0.25">
      <c r="A43" s="43">
        <v>1</v>
      </c>
      <c r="B43" s="43">
        <v>2</v>
      </c>
      <c r="C43" s="43">
        <v>2</v>
      </c>
      <c r="D43" s="275" t="s">
        <v>73</v>
      </c>
      <c r="E43" s="44" t="s">
        <v>2</v>
      </c>
      <c r="F43" s="45" t="s">
        <v>74</v>
      </c>
      <c r="G43" s="43"/>
      <c r="H43" s="43"/>
      <c r="I43" s="43"/>
      <c r="J43" s="43"/>
      <c r="K43" s="62"/>
      <c r="L43" s="62"/>
      <c r="M43" s="62"/>
      <c r="N43" s="62"/>
      <c r="O43" s="62"/>
      <c r="P43" s="62"/>
      <c r="Q43" s="164"/>
      <c r="R43" s="164"/>
      <c r="S43" s="164"/>
      <c r="T43" s="164"/>
      <c r="U43" s="164"/>
      <c r="V43" s="164"/>
      <c r="W43" s="164"/>
      <c r="X43" s="164"/>
      <c r="Y43" s="164"/>
      <c r="Z43" s="164"/>
      <c r="AA43" s="164"/>
      <c r="AB43" s="164"/>
      <c r="AC43" s="164"/>
      <c r="AD43" s="164"/>
      <c r="AE43" s="164"/>
      <c r="AF43" s="164"/>
      <c r="AG43" s="164"/>
      <c r="AH43" s="164"/>
    </row>
    <row r="44" spans="1:34" ht="12.4" customHeight="1" x14ac:dyDescent="0.25">
      <c r="A44" s="30">
        <v>1</v>
      </c>
      <c r="B44" s="30">
        <v>2</v>
      </c>
      <c r="C44" s="30">
        <v>2</v>
      </c>
      <c r="D44" s="274"/>
      <c r="E44" s="50" t="s">
        <v>38</v>
      </c>
      <c r="F44" s="54" t="s">
        <v>75</v>
      </c>
      <c r="G44" s="57" t="s">
        <v>17</v>
      </c>
      <c r="H44" s="57" t="s">
        <v>22</v>
      </c>
      <c r="I44" s="57" t="s">
        <v>40</v>
      </c>
      <c r="J44" s="140">
        <v>0</v>
      </c>
      <c r="K44" s="140">
        <v>0.15</v>
      </c>
      <c r="L44" s="140">
        <v>0.25</v>
      </c>
      <c r="M44" s="140">
        <v>0.35</v>
      </c>
      <c r="N44" s="140">
        <v>0.45</v>
      </c>
      <c r="O44" s="140">
        <v>0.5</v>
      </c>
      <c r="P44" s="140">
        <v>0.5</v>
      </c>
    </row>
    <row r="45" spans="1:34" ht="12.4" customHeight="1" x14ac:dyDescent="0.25">
      <c r="A45" s="30">
        <v>1</v>
      </c>
      <c r="B45" s="30">
        <v>2</v>
      </c>
      <c r="C45" s="30">
        <v>2</v>
      </c>
      <c r="D45" s="274"/>
      <c r="E45" s="50" t="s">
        <v>38</v>
      </c>
      <c r="F45" s="54" t="s">
        <v>76</v>
      </c>
      <c r="G45" s="57" t="s">
        <v>21</v>
      </c>
      <c r="H45" s="57" t="s">
        <v>22</v>
      </c>
      <c r="I45" s="57" t="s">
        <v>19</v>
      </c>
      <c r="J45" s="140">
        <v>0.5</v>
      </c>
      <c r="K45" s="140">
        <v>0.5</v>
      </c>
      <c r="L45" s="140">
        <v>0.55000000000000004</v>
      </c>
      <c r="M45" s="140">
        <v>0.6</v>
      </c>
      <c r="N45" s="140">
        <v>0.7</v>
      </c>
      <c r="O45" s="140">
        <v>0.75</v>
      </c>
      <c r="P45" s="140">
        <v>0.75</v>
      </c>
    </row>
    <row r="46" spans="1:34" ht="12.4" customHeight="1" x14ac:dyDescent="0.25">
      <c r="A46" s="30">
        <v>1</v>
      </c>
      <c r="B46" s="30">
        <v>2</v>
      </c>
      <c r="C46" s="30">
        <v>2</v>
      </c>
      <c r="D46" s="274"/>
      <c r="E46" s="50" t="s">
        <v>38</v>
      </c>
      <c r="F46" s="54" t="s">
        <v>77</v>
      </c>
      <c r="G46" s="57" t="s">
        <v>17</v>
      </c>
      <c r="H46" s="57" t="s">
        <v>22</v>
      </c>
      <c r="I46" s="57" t="s">
        <v>40</v>
      </c>
      <c r="J46" s="140">
        <v>0</v>
      </c>
      <c r="K46" s="140">
        <v>0</v>
      </c>
      <c r="L46" s="140">
        <v>0.6</v>
      </c>
      <c r="M46" s="140">
        <f>60%+20%</f>
        <v>0.8</v>
      </c>
      <c r="N46" s="140">
        <f>80%+20%</f>
        <v>1</v>
      </c>
      <c r="O46" s="140">
        <f>80%+20%</f>
        <v>1</v>
      </c>
      <c r="P46" s="140">
        <f>80%+20%</f>
        <v>1</v>
      </c>
    </row>
    <row r="47" spans="1:34" ht="12.4" customHeight="1" x14ac:dyDescent="0.25">
      <c r="A47" s="43">
        <v>1</v>
      </c>
      <c r="B47" s="43">
        <v>2</v>
      </c>
      <c r="C47" s="43">
        <v>3</v>
      </c>
      <c r="D47" s="275" t="s">
        <v>78</v>
      </c>
      <c r="E47" s="44" t="s">
        <v>2</v>
      </c>
      <c r="F47" s="45" t="s">
        <v>79</v>
      </c>
      <c r="G47" s="43"/>
      <c r="H47" s="43"/>
      <c r="I47" s="43"/>
      <c r="J47" s="43"/>
      <c r="K47" s="62"/>
      <c r="L47" s="62"/>
      <c r="M47" s="62"/>
      <c r="N47" s="62"/>
      <c r="O47" s="62"/>
      <c r="P47" s="62"/>
    </row>
    <row r="48" spans="1:34" ht="12.4" customHeight="1" x14ac:dyDescent="0.25">
      <c r="A48" s="30">
        <v>1</v>
      </c>
      <c r="B48" s="30">
        <v>2</v>
      </c>
      <c r="C48" s="30">
        <v>3</v>
      </c>
      <c r="D48" s="274"/>
      <c r="E48" s="50" t="s">
        <v>38</v>
      </c>
      <c r="F48" s="54" t="s">
        <v>80</v>
      </c>
      <c r="G48" s="57" t="s">
        <v>61</v>
      </c>
      <c r="H48" s="57" t="s">
        <v>18</v>
      </c>
      <c r="I48" s="57" t="s">
        <v>40</v>
      </c>
      <c r="J48" s="60" t="s">
        <v>646</v>
      </c>
      <c r="K48" s="60">
        <v>0</v>
      </c>
      <c r="L48" s="60">
        <v>1</v>
      </c>
      <c r="M48" s="60">
        <v>1</v>
      </c>
      <c r="N48" s="60">
        <v>1</v>
      </c>
      <c r="O48" s="60">
        <v>1</v>
      </c>
      <c r="P48" s="60">
        <v>1</v>
      </c>
    </row>
    <row r="49" spans="1:16" ht="12.4" customHeight="1" x14ac:dyDescent="0.25">
      <c r="A49" s="30">
        <v>1</v>
      </c>
      <c r="B49" s="30">
        <v>2</v>
      </c>
      <c r="C49" s="30">
        <v>3</v>
      </c>
      <c r="D49" s="274"/>
      <c r="E49" s="50" t="s">
        <v>38</v>
      </c>
      <c r="F49" s="54" t="s">
        <v>81</v>
      </c>
      <c r="G49" s="57" t="s">
        <v>61</v>
      </c>
      <c r="H49" s="57" t="s">
        <v>18</v>
      </c>
      <c r="I49" s="57" t="s">
        <v>19</v>
      </c>
      <c r="J49" s="60">
        <v>2</v>
      </c>
      <c r="K49" s="60">
        <v>2</v>
      </c>
      <c r="L49" s="60">
        <v>2</v>
      </c>
      <c r="M49" s="60">
        <v>3</v>
      </c>
      <c r="N49" s="60">
        <v>3</v>
      </c>
      <c r="O49" s="60">
        <v>3</v>
      </c>
      <c r="P49" s="60">
        <v>3</v>
      </c>
    </row>
    <row r="50" spans="1:16" ht="12.4" customHeight="1" x14ac:dyDescent="0.25">
      <c r="A50" s="37">
        <v>1</v>
      </c>
      <c r="B50" s="37">
        <v>3</v>
      </c>
      <c r="C50" s="37">
        <v>0</v>
      </c>
      <c r="D50" s="273"/>
      <c r="E50" s="38" t="s">
        <v>1</v>
      </c>
      <c r="F50" s="39" t="s">
        <v>82</v>
      </c>
      <c r="G50" s="37"/>
      <c r="H50" s="37"/>
      <c r="I50" s="37"/>
      <c r="J50" s="37"/>
      <c r="K50" s="63"/>
      <c r="L50" s="63"/>
      <c r="M50" s="63"/>
      <c r="N50" s="63"/>
      <c r="O50" s="63"/>
      <c r="P50" s="63"/>
    </row>
    <row r="51" spans="1:16" ht="12.4" customHeight="1" x14ac:dyDescent="0.25">
      <c r="A51" s="30">
        <v>1</v>
      </c>
      <c r="B51" s="30">
        <v>3</v>
      </c>
      <c r="C51" s="30">
        <v>0</v>
      </c>
      <c r="D51" s="274"/>
      <c r="E51" s="50" t="s">
        <v>28</v>
      </c>
      <c r="F51" s="54" t="s">
        <v>83</v>
      </c>
      <c r="G51" s="57" t="s">
        <v>17</v>
      </c>
      <c r="H51" s="30" t="s">
        <v>18</v>
      </c>
      <c r="I51" s="57" t="s">
        <v>23</v>
      </c>
      <c r="J51" s="60">
        <v>20000</v>
      </c>
      <c r="K51" s="60">
        <v>20000</v>
      </c>
      <c r="L51" s="60">
        <v>20000</v>
      </c>
      <c r="M51" s="60">
        <v>20000</v>
      </c>
      <c r="N51" s="60">
        <v>20000</v>
      </c>
      <c r="O51" s="60">
        <v>20000</v>
      </c>
      <c r="P51" s="60">
        <v>20000</v>
      </c>
    </row>
    <row r="52" spans="1:16" ht="12.4" customHeight="1" x14ac:dyDescent="0.25">
      <c r="A52" s="30">
        <v>1</v>
      </c>
      <c r="B52" s="30">
        <v>3</v>
      </c>
      <c r="C52" s="30">
        <v>0</v>
      </c>
      <c r="D52" s="274"/>
      <c r="E52" s="50" t="s">
        <v>28</v>
      </c>
      <c r="F52" s="54" t="s">
        <v>84</v>
      </c>
      <c r="G52" s="57" t="s">
        <v>17</v>
      </c>
      <c r="H52" s="30" t="s">
        <v>18</v>
      </c>
      <c r="I52" s="57" t="s">
        <v>40</v>
      </c>
      <c r="J52" s="60">
        <v>0</v>
      </c>
      <c r="K52" s="60">
        <v>0</v>
      </c>
      <c r="L52" s="60">
        <v>50</v>
      </c>
      <c r="M52" s="60">
        <f>70+L52</f>
        <v>120</v>
      </c>
      <c r="N52" s="60">
        <f>M52+85</f>
        <v>205</v>
      </c>
      <c r="O52" s="60">
        <f>N52+25</f>
        <v>230</v>
      </c>
      <c r="P52" s="60">
        <f>O52</f>
        <v>230</v>
      </c>
    </row>
    <row r="53" spans="1:16" ht="12.4" customHeight="1" x14ac:dyDescent="0.25">
      <c r="A53" s="30">
        <v>1</v>
      </c>
      <c r="B53" s="30">
        <v>3</v>
      </c>
      <c r="C53" s="30">
        <v>0</v>
      </c>
      <c r="D53" s="274"/>
      <c r="E53" s="50" t="s">
        <v>28</v>
      </c>
      <c r="F53" s="54" t="s">
        <v>85</v>
      </c>
      <c r="G53" s="57" t="s">
        <v>21</v>
      </c>
      <c r="H53" s="30" t="s">
        <v>18</v>
      </c>
      <c r="I53" s="57" t="s">
        <v>40</v>
      </c>
      <c r="J53" s="60">
        <v>1786</v>
      </c>
      <c r="K53" s="60">
        <v>1800</v>
      </c>
      <c r="L53" s="60">
        <f>K53+1800</f>
        <v>3600</v>
      </c>
      <c r="M53" s="60">
        <f>L53+1800</f>
        <v>5400</v>
      </c>
      <c r="N53" s="60">
        <f>M53+1800</f>
        <v>7200</v>
      </c>
      <c r="O53" s="60">
        <f>N53</f>
        <v>7200</v>
      </c>
      <c r="P53" s="60">
        <f>O53</f>
        <v>7200</v>
      </c>
    </row>
    <row r="54" spans="1:16" ht="12.4" customHeight="1" x14ac:dyDescent="0.25">
      <c r="A54" s="30">
        <v>1</v>
      </c>
      <c r="B54" s="30">
        <v>3</v>
      </c>
      <c r="C54" s="30">
        <v>0</v>
      </c>
      <c r="D54" s="274"/>
      <c r="E54" s="50" t="s">
        <v>28</v>
      </c>
      <c r="F54" s="54" t="s">
        <v>86</v>
      </c>
      <c r="G54" s="57" t="s">
        <v>17</v>
      </c>
      <c r="H54" s="57" t="s">
        <v>22</v>
      </c>
      <c r="I54" s="57" t="s">
        <v>23</v>
      </c>
      <c r="J54" s="140">
        <v>0.51</v>
      </c>
      <c r="K54" s="140">
        <v>0.51</v>
      </c>
      <c r="L54" s="140">
        <v>0.51</v>
      </c>
      <c r="M54" s="140">
        <v>0.51</v>
      </c>
      <c r="N54" s="140">
        <v>0.51</v>
      </c>
      <c r="O54" s="140">
        <v>0</v>
      </c>
      <c r="P54" s="140">
        <v>0.51</v>
      </c>
    </row>
    <row r="55" spans="1:16" s="164" customFormat="1" x14ac:dyDescent="0.25">
      <c r="A55" s="43">
        <v>1</v>
      </c>
      <c r="B55" s="43">
        <v>3</v>
      </c>
      <c r="C55" s="43">
        <v>1</v>
      </c>
      <c r="D55" s="275" t="s">
        <v>42</v>
      </c>
      <c r="E55" s="44" t="s">
        <v>2</v>
      </c>
      <c r="F55" s="45" t="s">
        <v>87</v>
      </c>
      <c r="G55" s="43"/>
      <c r="H55" s="43"/>
      <c r="I55" s="43"/>
      <c r="J55" s="43"/>
      <c r="K55" s="62"/>
      <c r="L55" s="62"/>
      <c r="M55" s="62"/>
      <c r="N55" s="62"/>
      <c r="O55" s="62"/>
      <c r="P55" s="62"/>
    </row>
    <row r="56" spans="1:16" ht="12.4" customHeight="1" x14ac:dyDescent="0.25">
      <c r="A56" s="30">
        <v>1</v>
      </c>
      <c r="B56" s="30">
        <v>3</v>
      </c>
      <c r="C56" s="30">
        <v>1</v>
      </c>
      <c r="D56" s="274"/>
      <c r="E56" s="50" t="s">
        <v>38</v>
      </c>
      <c r="F56" s="54" t="s">
        <v>88</v>
      </c>
      <c r="G56" s="57" t="s">
        <v>21</v>
      </c>
      <c r="H56" s="30" t="s">
        <v>18</v>
      </c>
      <c r="I56" s="57" t="s">
        <v>19</v>
      </c>
      <c r="J56" s="60">
        <v>134</v>
      </c>
      <c r="K56" s="60">
        <f>+J56+22</f>
        <v>156</v>
      </c>
      <c r="L56" s="60">
        <f>+K56+22</f>
        <v>178</v>
      </c>
      <c r="M56" s="60">
        <f>+L56+22</f>
        <v>200</v>
      </c>
      <c r="N56" s="60">
        <f>+M56+22</f>
        <v>222</v>
      </c>
      <c r="O56" s="60">
        <f>N56+2</f>
        <v>224</v>
      </c>
      <c r="P56" s="60">
        <f>O56</f>
        <v>224</v>
      </c>
    </row>
    <row r="57" spans="1:16" ht="12.4" customHeight="1" x14ac:dyDescent="0.25">
      <c r="A57" s="30">
        <v>1</v>
      </c>
      <c r="B57" s="30">
        <v>3</v>
      </c>
      <c r="C57" s="30">
        <v>1</v>
      </c>
      <c r="D57" s="274"/>
      <c r="E57" s="50" t="s">
        <v>38</v>
      </c>
      <c r="F57" s="54" t="s">
        <v>89</v>
      </c>
      <c r="G57" s="57" t="s">
        <v>21</v>
      </c>
      <c r="H57" s="30" t="s">
        <v>18</v>
      </c>
      <c r="I57" s="57" t="s">
        <v>30</v>
      </c>
      <c r="J57" s="60">
        <v>15</v>
      </c>
      <c r="K57" s="60">
        <v>15</v>
      </c>
      <c r="L57" s="60">
        <v>15</v>
      </c>
      <c r="M57" s="60">
        <v>15</v>
      </c>
      <c r="N57" s="60">
        <v>15</v>
      </c>
      <c r="O57" s="60">
        <v>0</v>
      </c>
      <c r="P57" s="60">
        <v>15</v>
      </c>
    </row>
    <row r="58" spans="1:16" ht="12.4" customHeight="1" x14ac:dyDescent="0.25">
      <c r="A58" s="30">
        <v>1</v>
      </c>
      <c r="B58" s="30">
        <v>3</v>
      </c>
      <c r="C58" s="30">
        <v>1</v>
      </c>
      <c r="D58" s="274"/>
      <c r="E58" s="50" t="s">
        <v>38</v>
      </c>
      <c r="F58" s="54" t="s">
        <v>90</v>
      </c>
      <c r="G58" s="57" t="s">
        <v>17</v>
      </c>
      <c r="H58" s="30" t="s">
        <v>18</v>
      </c>
      <c r="I58" s="57" t="s">
        <v>30</v>
      </c>
      <c r="J58" s="60">
        <v>3</v>
      </c>
      <c r="K58" s="60">
        <v>3</v>
      </c>
      <c r="L58" s="60">
        <v>3</v>
      </c>
      <c r="M58" s="60">
        <v>3</v>
      </c>
      <c r="N58" s="60">
        <v>3</v>
      </c>
      <c r="O58" s="60">
        <v>0</v>
      </c>
      <c r="P58" s="60">
        <v>3</v>
      </c>
    </row>
    <row r="59" spans="1:16" s="164" customFormat="1" x14ac:dyDescent="0.25">
      <c r="A59" s="43">
        <v>1</v>
      </c>
      <c r="B59" s="43">
        <v>3</v>
      </c>
      <c r="C59" s="43">
        <v>2</v>
      </c>
      <c r="D59" s="275" t="s">
        <v>73</v>
      </c>
      <c r="E59" s="44" t="s">
        <v>2</v>
      </c>
      <c r="F59" s="45" t="s">
        <v>91</v>
      </c>
      <c r="G59" s="43"/>
      <c r="H59" s="43"/>
      <c r="I59" s="43"/>
      <c r="J59" s="43"/>
      <c r="K59" s="62"/>
      <c r="L59" s="62"/>
      <c r="M59" s="62"/>
      <c r="N59" s="62"/>
      <c r="O59" s="62"/>
      <c r="P59" s="62"/>
    </row>
    <row r="60" spans="1:16" ht="12.4" customHeight="1" x14ac:dyDescent="0.25">
      <c r="A60" s="30">
        <v>1</v>
      </c>
      <c r="B60" s="30">
        <v>3</v>
      </c>
      <c r="C60" s="30">
        <v>2</v>
      </c>
      <c r="D60" s="274"/>
      <c r="E60" s="50" t="s">
        <v>38</v>
      </c>
      <c r="F60" s="54" t="s">
        <v>92</v>
      </c>
      <c r="G60" s="57" t="s">
        <v>21</v>
      </c>
      <c r="H60" s="30" t="s">
        <v>18</v>
      </c>
      <c r="I60" s="57" t="s">
        <v>19</v>
      </c>
      <c r="J60" s="60">
        <v>20000</v>
      </c>
      <c r="K60" s="60">
        <f>J60</f>
        <v>20000</v>
      </c>
      <c r="L60" s="60">
        <f>K60</f>
        <v>20000</v>
      </c>
      <c r="M60" s="60">
        <f>+L60+1400</f>
        <v>21400</v>
      </c>
      <c r="N60" s="60">
        <f>+M60+1400</f>
        <v>22800</v>
      </c>
      <c r="O60" s="60">
        <f>+N60+1400</f>
        <v>24200</v>
      </c>
      <c r="P60" s="60">
        <f>O60</f>
        <v>24200</v>
      </c>
    </row>
    <row r="61" spans="1:16" ht="12.4" customHeight="1" x14ac:dyDescent="0.25">
      <c r="A61" s="30">
        <v>1</v>
      </c>
      <c r="B61" s="30">
        <v>3</v>
      </c>
      <c r="C61" s="30">
        <v>2</v>
      </c>
      <c r="D61" s="274"/>
      <c r="E61" s="50" t="s">
        <v>38</v>
      </c>
      <c r="F61" s="299" t="s">
        <v>93</v>
      </c>
      <c r="G61" s="57" t="s">
        <v>21</v>
      </c>
      <c r="H61" s="30" t="s">
        <v>18</v>
      </c>
      <c r="I61" s="57" t="s">
        <v>23</v>
      </c>
      <c r="J61" s="60">
        <v>40</v>
      </c>
      <c r="K61" s="60">
        <f>J61</f>
        <v>40</v>
      </c>
      <c r="L61" s="60">
        <f>K61</f>
        <v>40</v>
      </c>
      <c r="M61" s="60">
        <f>L61</f>
        <v>40</v>
      </c>
      <c r="N61" s="60">
        <f>M61</f>
        <v>40</v>
      </c>
      <c r="O61" s="60">
        <f>N61</f>
        <v>40</v>
      </c>
      <c r="P61" s="60">
        <f>O61</f>
        <v>40</v>
      </c>
    </row>
    <row r="62" spans="1:16" ht="12.4" customHeight="1" x14ac:dyDescent="0.25">
      <c r="A62" s="30">
        <v>1</v>
      </c>
      <c r="B62" s="30">
        <v>3</v>
      </c>
      <c r="C62" s="30">
        <v>2</v>
      </c>
      <c r="D62" s="274"/>
      <c r="E62" s="50" t="s">
        <v>38</v>
      </c>
      <c r="F62" s="54" t="s">
        <v>94</v>
      </c>
      <c r="G62" s="57" t="s">
        <v>21</v>
      </c>
      <c r="H62" s="30" t="s">
        <v>18</v>
      </c>
      <c r="I62" s="57" t="s">
        <v>40</v>
      </c>
      <c r="J62" s="60">
        <v>7000</v>
      </c>
      <c r="K62" s="60">
        <v>7000</v>
      </c>
      <c r="L62" s="60">
        <f>K62+7000</f>
        <v>14000</v>
      </c>
      <c r="M62" s="60">
        <f>L62+7000</f>
        <v>21000</v>
      </c>
      <c r="N62" s="60">
        <f>M62+7000</f>
        <v>28000</v>
      </c>
      <c r="O62" s="60">
        <f>N62</f>
        <v>28000</v>
      </c>
      <c r="P62" s="60">
        <f>O62</f>
        <v>28000</v>
      </c>
    </row>
    <row r="63" spans="1:16" ht="12.4" customHeight="1" x14ac:dyDescent="0.25">
      <c r="A63" s="30">
        <v>1</v>
      </c>
      <c r="B63" s="30">
        <v>3</v>
      </c>
      <c r="C63" s="30">
        <v>2</v>
      </c>
      <c r="D63" s="274"/>
      <c r="E63" s="50" t="s">
        <v>38</v>
      </c>
      <c r="F63" s="54" t="s">
        <v>651</v>
      </c>
      <c r="G63" s="57" t="s">
        <v>61</v>
      </c>
      <c r="H63" s="30" t="s">
        <v>18</v>
      </c>
      <c r="I63" s="57" t="s">
        <v>40</v>
      </c>
      <c r="J63" s="60">
        <v>43600</v>
      </c>
      <c r="K63" s="60">
        <v>43600</v>
      </c>
      <c r="L63" s="60">
        <f>K63+43600</f>
        <v>87200</v>
      </c>
      <c r="M63" s="60">
        <f>L63+43600</f>
        <v>130800</v>
      </c>
      <c r="N63" s="60">
        <f>M63+43600</f>
        <v>174400</v>
      </c>
      <c r="O63" s="60">
        <f>N63</f>
        <v>174400</v>
      </c>
      <c r="P63" s="60">
        <f>O63</f>
        <v>174400</v>
      </c>
    </row>
    <row r="64" spans="1:16" ht="12.4" customHeight="1" x14ac:dyDescent="0.25">
      <c r="A64" s="30">
        <v>1</v>
      </c>
      <c r="B64" s="30">
        <v>3</v>
      </c>
      <c r="C64" s="30">
        <v>2</v>
      </c>
      <c r="D64" s="274"/>
      <c r="E64" s="50" t="s">
        <v>38</v>
      </c>
      <c r="F64" s="54" t="s">
        <v>95</v>
      </c>
      <c r="G64" s="57" t="s">
        <v>61</v>
      </c>
      <c r="H64" s="57" t="s">
        <v>22</v>
      </c>
      <c r="I64" s="57" t="s">
        <v>23</v>
      </c>
      <c r="J64" s="140">
        <v>0.51</v>
      </c>
      <c r="K64" s="140">
        <v>0.51</v>
      </c>
      <c r="L64" s="140">
        <v>0.51</v>
      </c>
      <c r="M64" s="140">
        <v>0.51</v>
      </c>
      <c r="N64" s="140">
        <v>0</v>
      </c>
      <c r="O64" s="140">
        <v>0.51</v>
      </c>
      <c r="P64" s="140">
        <v>0.51</v>
      </c>
    </row>
    <row r="65" spans="1:16" ht="12.4" customHeight="1" x14ac:dyDescent="0.25">
      <c r="A65" s="30">
        <v>1</v>
      </c>
      <c r="B65" s="30">
        <v>3</v>
      </c>
      <c r="C65" s="30">
        <v>2</v>
      </c>
      <c r="D65" s="274"/>
      <c r="E65" s="50" t="s">
        <v>38</v>
      </c>
      <c r="F65" s="54" t="s">
        <v>96</v>
      </c>
      <c r="G65" s="57" t="s">
        <v>17</v>
      </c>
      <c r="H65" s="30" t="s">
        <v>18</v>
      </c>
      <c r="I65" s="57" t="s">
        <v>40</v>
      </c>
      <c r="J65" s="60">
        <v>200</v>
      </c>
      <c r="K65" s="60">
        <v>200</v>
      </c>
      <c r="L65" s="60">
        <f>+K65+200</f>
        <v>400</v>
      </c>
      <c r="M65" s="60">
        <f>+L65+200</f>
        <v>600</v>
      </c>
      <c r="N65" s="60">
        <f>+M65+200</f>
        <v>800</v>
      </c>
      <c r="O65" s="60">
        <f>N65</f>
        <v>800</v>
      </c>
      <c r="P65" s="60">
        <f>O65</f>
        <v>800</v>
      </c>
    </row>
    <row r="66" spans="1:16" s="71" customFormat="1" ht="12.4" customHeight="1" x14ac:dyDescent="0.25">
      <c r="A66" s="65">
        <v>2</v>
      </c>
      <c r="B66" s="65">
        <v>0</v>
      </c>
      <c r="C66" s="65">
        <v>0</v>
      </c>
      <c r="D66" s="278"/>
      <c r="E66" s="66" t="s">
        <v>0</v>
      </c>
      <c r="F66" s="67" t="s">
        <v>97</v>
      </c>
      <c r="G66" s="65"/>
      <c r="H66" s="65"/>
      <c r="I66" s="65"/>
      <c r="J66" s="65"/>
      <c r="K66" s="68"/>
      <c r="L66" s="68"/>
      <c r="M66" s="68"/>
      <c r="N66" s="68"/>
      <c r="O66" s="68"/>
      <c r="P66" s="68"/>
    </row>
    <row r="67" spans="1:16" ht="12.4" customHeight="1" x14ac:dyDescent="0.25">
      <c r="A67" s="30">
        <v>2</v>
      </c>
      <c r="B67" s="30">
        <v>0</v>
      </c>
      <c r="C67" s="30">
        <v>0</v>
      </c>
      <c r="D67" s="274"/>
      <c r="E67" s="50" t="s">
        <v>15</v>
      </c>
      <c r="F67" s="84" t="s">
        <v>98</v>
      </c>
      <c r="G67" s="30" t="s">
        <v>21</v>
      </c>
      <c r="H67" s="30" t="s">
        <v>18</v>
      </c>
      <c r="I67" s="57" t="s">
        <v>23</v>
      </c>
      <c r="J67" s="60">
        <v>4</v>
      </c>
      <c r="K67" s="60">
        <v>4</v>
      </c>
      <c r="L67" s="60">
        <v>4</v>
      </c>
      <c r="M67" s="60">
        <v>4</v>
      </c>
      <c r="N67" s="60">
        <v>4</v>
      </c>
      <c r="O67" s="60">
        <v>4</v>
      </c>
      <c r="P67" s="60">
        <v>4</v>
      </c>
    </row>
    <row r="68" spans="1:16" ht="12.4" customHeight="1" x14ac:dyDescent="0.25">
      <c r="A68" s="30">
        <v>2</v>
      </c>
      <c r="B68" s="30">
        <v>0</v>
      </c>
      <c r="C68" s="30">
        <v>0</v>
      </c>
      <c r="D68" s="274"/>
      <c r="E68" s="50" t="s">
        <v>15</v>
      </c>
      <c r="F68" s="84" t="s">
        <v>99</v>
      </c>
      <c r="G68" s="30" t="s">
        <v>21</v>
      </c>
      <c r="H68" s="57" t="s">
        <v>22</v>
      </c>
      <c r="I68" s="57" t="s">
        <v>19</v>
      </c>
      <c r="J68" s="161">
        <v>0.59</v>
      </c>
      <c r="K68" s="161">
        <v>0.59</v>
      </c>
      <c r="L68" s="161">
        <v>0.59</v>
      </c>
      <c r="M68" s="161">
        <v>0.59</v>
      </c>
      <c r="N68" s="161">
        <v>0.71</v>
      </c>
      <c r="O68" s="161">
        <v>0.71</v>
      </c>
      <c r="P68" s="161">
        <v>0.71</v>
      </c>
    </row>
    <row r="69" spans="1:16" ht="12.4" customHeight="1" x14ac:dyDescent="0.25">
      <c r="A69" s="30">
        <v>2</v>
      </c>
      <c r="B69" s="30">
        <v>0</v>
      </c>
      <c r="C69" s="30">
        <v>0</v>
      </c>
      <c r="D69" s="274"/>
      <c r="E69" s="50" t="s">
        <v>15</v>
      </c>
      <c r="F69" s="54" t="s">
        <v>100</v>
      </c>
      <c r="G69" s="57" t="s">
        <v>21</v>
      </c>
      <c r="H69" s="57" t="s">
        <v>22</v>
      </c>
      <c r="I69" s="57" t="s">
        <v>19</v>
      </c>
      <c r="J69" s="161">
        <v>0.73</v>
      </c>
      <c r="K69" s="161">
        <v>0.73</v>
      </c>
      <c r="L69" s="161">
        <v>0.75</v>
      </c>
      <c r="M69" s="161">
        <v>0.77</v>
      </c>
      <c r="N69" s="161">
        <v>0.8</v>
      </c>
      <c r="O69" s="161">
        <v>0.8</v>
      </c>
      <c r="P69" s="161">
        <v>0.8</v>
      </c>
    </row>
    <row r="70" spans="1:16" ht="12.4" customHeight="1" x14ac:dyDescent="0.25">
      <c r="A70" s="30">
        <v>2</v>
      </c>
      <c r="B70" s="30">
        <v>0</v>
      </c>
      <c r="C70" s="30">
        <v>0</v>
      </c>
      <c r="D70" s="274"/>
      <c r="E70" s="50" t="s">
        <v>15</v>
      </c>
      <c r="F70" s="54" t="s">
        <v>101</v>
      </c>
      <c r="G70" s="57" t="s">
        <v>21</v>
      </c>
      <c r="H70" s="57" t="s">
        <v>22</v>
      </c>
      <c r="I70" s="57" t="s">
        <v>40</v>
      </c>
      <c r="J70" s="140">
        <v>0.5</v>
      </c>
      <c r="K70" s="140">
        <v>0.55000000000000004</v>
      </c>
      <c r="L70" s="140">
        <v>0.6</v>
      </c>
      <c r="M70" s="140">
        <v>0.65</v>
      </c>
      <c r="N70" s="140">
        <v>0.7</v>
      </c>
      <c r="O70" s="140">
        <v>0.75</v>
      </c>
      <c r="P70" s="140">
        <v>0.9</v>
      </c>
    </row>
    <row r="71" spans="1:16" s="71" customFormat="1" ht="12.4" customHeight="1" x14ac:dyDescent="0.25">
      <c r="A71" s="72">
        <v>2</v>
      </c>
      <c r="B71" s="72">
        <v>1</v>
      </c>
      <c r="C71" s="72">
        <v>0</v>
      </c>
      <c r="D71" s="276"/>
      <c r="E71" s="73" t="s">
        <v>1</v>
      </c>
      <c r="F71" s="74" t="s">
        <v>102</v>
      </c>
      <c r="G71" s="72"/>
      <c r="H71" s="72"/>
      <c r="I71" s="72"/>
      <c r="J71" s="72"/>
      <c r="K71" s="75"/>
      <c r="L71" s="75"/>
      <c r="M71" s="75"/>
      <c r="N71" s="75"/>
      <c r="O71" s="75"/>
      <c r="P71" s="75"/>
    </row>
    <row r="72" spans="1:16" ht="12.4" customHeight="1" x14ac:dyDescent="0.25">
      <c r="A72" s="30">
        <v>2</v>
      </c>
      <c r="B72" s="30">
        <v>1</v>
      </c>
      <c r="C72" s="30">
        <v>0</v>
      </c>
      <c r="D72" s="274"/>
      <c r="E72" s="50" t="s">
        <v>28</v>
      </c>
      <c r="F72" s="54" t="s">
        <v>103</v>
      </c>
      <c r="G72" s="57" t="s">
        <v>21</v>
      </c>
      <c r="H72" s="57" t="s">
        <v>18</v>
      </c>
      <c r="I72" s="57" t="s">
        <v>19</v>
      </c>
      <c r="J72" s="60">
        <v>12</v>
      </c>
      <c r="K72" s="60">
        <f>J72</f>
        <v>12</v>
      </c>
      <c r="L72" s="60">
        <f>K72+2</f>
        <v>14</v>
      </c>
      <c r="M72" s="60">
        <f>L72+2</f>
        <v>16</v>
      </c>
      <c r="N72" s="60">
        <f>M72+2</f>
        <v>18</v>
      </c>
      <c r="O72" s="60">
        <f>N72</f>
        <v>18</v>
      </c>
      <c r="P72" s="60">
        <f>O72</f>
        <v>18</v>
      </c>
    </row>
    <row r="73" spans="1:16" ht="12.4" customHeight="1" x14ac:dyDescent="0.25">
      <c r="A73" s="30">
        <v>2</v>
      </c>
      <c r="B73" s="30">
        <v>1</v>
      </c>
      <c r="C73" s="30">
        <v>0</v>
      </c>
      <c r="D73" s="274"/>
      <c r="E73" s="50" t="s">
        <v>28</v>
      </c>
      <c r="F73" s="54" t="s">
        <v>104</v>
      </c>
      <c r="G73" s="57" t="s">
        <v>21</v>
      </c>
      <c r="H73" s="57" t="s">
        <v>18</v>
      </c>
      <c r="I73" s="57" t="s">
        <v>19</v>
      </c>
      <c r="J73" s="60">
        <v>23</v>
      </c>
      <c r="K73" s="60">
        <f>+J73+5</f>
        <v>28</v>
      </c>
      <c r="L73" s="60">
        <f>+K73+30</f>
        <v>58</v>
      </c>
      <c r="M73" s="60">
        <f>+L73+32</f>
        <v>90</v>
      </c>
      <c r="N73" s="60">
        <f>+M73+34</f>
        <v>124</v>
      </c>
      <c r="O73" s="60">
        <f>+N73+10</f>
        <v>134</v>
      </c>
      <c r="P73" s="60">
        <f>O73</f>
        <v>134</v>
      </c>
    </row>
    <row r="74" spans="1:16" ht="12.4" customHeight="1" x14ac:dyDescent="0.25">
      <c r="A74" s="30">
        <v>2</v>
      </c>
      <c r="B74" s="30">
        <v>1</v>
      </c>
      <c r="C74" s="30">
        <v>0</v>
      </c>
      <c r="D74" s="274"/>
      <c r="E74" s="50" t="s">
        <v>28</v>
      </c>
      <c r="F74" s="54" t="s">
        <v>105</v>
      </c>
      <c r="G74" s="57" t="s">
        <v>21</v>
      </c>
      <c r="H74" s="57" t="s">
        <v>18</v>
      </c>
      <c r="I74" s="57" t="s">
        <v>19</v>
      </c>
      <c r="J74" s="60">
        <v>250</v>
      </c>
      <c r="K74" s="60">
        <f>J74</f>
        <v>250</v>
      </c>
      <c r="L74" s="60">
        <f>K74</f>
        <v>250</v>
      </c>
      <c r="M74" s="60">
        <f>L74+50</f>
        <v>300</v>
      </c>
      <c r="N74" s="60">
        <f>M74+20</f>
        <v>320</v>
      </c>
      <c r="O74" s="60">
        <v>320</v>
      </c>
      <c r="P74" s="60">
        <v>320</v>
      </c>
    </row>
    <row r="75" spans="1:16" s="71" customFormat="1" x14ac:dyDescent="0.25">
      <c r="A75" s="78">
        <v>2</v>
      </c>
      <c r="B75" s="78">
        <v>1</v>
      </c>
      <c r="C75" s="78">
        <v>1</v>
      </c>
      <c r="D75" s="279" t="s">
        <v>106</v>
      </c>
      <c r="E75" s="79" t="s">
        <v>2</v>
      </c>
      <c r="F75" s="80" t="s">
        <v>107</v>
      </c>
      <c r="G75" s="78"/>
      <c r="H75" s="78"/>
      <c r="I75" s="78"/>
      <c r="J75" s="78"/>
      <c r="K75" s="81"/>
      <c r="L75" s="81"/>
      <c r="M75" s="81"/>
      <c r="N75" s="81"/>
      <c r="O75" s="81"/>
      <c r="P75" s="81"/>
    </row>
    <row r="76" spans="1:16" ht="12.4" customHeight="1" x14ac:dyDescent="0.25">
      <c r="A76" s="30">
        <v>2</v>
      </c>
      <c r="B76" s="30">
        <v>1</v>
      </c>
      <c r="C76" s="30">
        <v>1</v>
      </c>
      <c r="D76" s="274"/>
      <c r="E76" s="50" t="s">
        <v>38</v>
      </c>
      <c r="F76" s="54" t="s">
        <v>108</v>
      </c>
      <c r="G76" s="57" t="s">
        <v>17</v>
      </c>
      <c r="H76" s="57" t="s">
        <v>18</v>
      </c>
      <c r="I76" s="57" t="s">
        <v>40</v>
      </c>
      <c r="J76" s="60">
        <v>0</v>
      </c>
      <c r="K76" s="60">
        <v>1</v>
      </c>
      <c r="L76" s="60">
        <v>1</v>
      </c>
      <c r="M76" s="60">
        <v>1</v>
      </c>
      <c r="N76" s="60">
        <v>1</v>
      </c>
      <c r="O76" s="60">
        <v>1</v>
      </c>
      <c r="P76" s="60">
        <v>1</v>
      </c>
    </row>
    <row r="77" spans="1:16" ht="12.4" customHeight="1" x14ac:dyDescent="0.25">
      <c r="A77" s="30">
        <v>2</v>
      </c>
      <c r="B77" s="30">
        <v>1</v>
      </c>
      <c r="C77" s="30">
        <v>1</v>
      </c>
      <c r="D77" s="274"/>
      <c r="E77" s="50" t="s">
        <v>38</v>
      </c>
      <c r="F77" s="54" t="s">
        <v>109</v>
      </c>
      <c r="G77" s="57" t="s">
        <v>17</v>
      </c>
      <c r="H77" s="57" t="s">
        <v>22</v>
      </c>
      <c r="I77" s="57" t="s">
        <v>40</v>
      </c>
      <c r="J77" s="140">
        <v>0</v>
      </c>
      <c r="K77" s="140">
        <v>0.3</v>
      </c>
      <c r="L77" s="140">
        <f>+K77+30%</f>
        <v>0.6</v>
      </c>
      <c r="M77" s="140">
        <f>+L77+30%</f>
        <v>0.89999999999999991</v>
      </c>
      <c r="N77" s="140">
        <f>+M77+10%</f>
        <v>0.99999999999999989</v>
      </c>
      <c r="O77" s="140">
        <f>N77</f>
        <v>0.99999999999999989</v>
      </c>
      <c r="P77" s="140">
        <f>O77</f>
        <v>0.99999999999999989</v>
      </c>
    </row>
    <row r="78" spans="1:16" s="71" customFormat="1" x14ac:dyDescent="0.25">
      <c r="A78" s="78">
        <v>2</v>
      </c>
      <c r="B78" s="78">
        <v>1</v>
      </c>
      <c r="C78" s="78">
        <v>2</v>
      </c>
      <c r="D78" s="279" t="s">
        <v>106</v>
      </c>
      <c r="E78" s="79" t="s">
        <v>2</v>
      </c>
      <c r="F78" s="80" t="s">
        <v>110</v>
      </c>
      <c r="G78" s="78"/>
      <c r="H78" s="78"/>
      <c r="I78" s="78"/>
      <c r="J78" s="78"/>
      <c r="K78" s="81"/>
      <c r="L78" s="81"/>
      <c r="M78" s="81"/>
      <c r="N78" s="81"/>
      <c r="O78" s="81"/>
      <c r="P78" s="81"/>
    </row>
    <row r="79" spans="1:16" ht="12.4" customHeight="1" x14ac:dyDescent="0.25">
      <c r="A79" s="30">
        <v>2</v>
      </c>
      <c r="B79" s="30">
        <v>1</v>
      </c>
      <c r="C79" s="30">
        <v>2</v>
      </c>
      <c r="D79" s="274"/>
      <c r="E79" s="50" t="s">
        <v>38</v>
      </c>
      <c r="F79" s="54" t="s">
        <v>647</v>
      </c>
      <c r="G79" s="57" t="s">
        <v>17</v>
      </c>
      <c r="H79" s="57" t="s">
        <v>18</v>
      </c>
      <c r="I79" s="57" t="s">
        <v>40</v>
      </c>
      <c r="J79" s="60">
        <v>0</v>
      </c>
      <c r="K79" s="60">
        <v>1</v>
      </c>
      <c r="L79" s="60">
        <v>2</v>
      </c>
      <c r="M79" s="60">
        <v>3</v>
      </c>
      <c r="N79" s="60">
        <v>4</v>
      </c>
      <c r="O79" s="60">
        <v>4</v>
      </c>
      <c r="P79" s="60">
        <v>4</v>
      </c>
    </row>
    <row r="80" spans="1:16" ht="12.4" customHeight="1" x14ac:dyDescent="0.25">
      <c r="A80" s="30">
        <v>2</v>
      </c>
      <c r="B80" s="30">
        <v>1</v>
      </c>
      <c r="C80" s="30">
        <v>2</v>
      </c>
      <c r="D80" s="274"/>
      <c r="E80" s="50" t="s">
        <v>38</v>
      </c>
      <c r="F80" s="54" t="s">
        <v>111</v>
      </c>
      <c r="G80" s="57" t="s">
        <v>21</v>
      </c>
      <c r="H80" s="57" t="s">
        <v>18</v>
      </c>
      <c r="I80" s="57" t="s">
        <v>40</v>
      </c>
      <c r="J80" s="60">
        <v>2</v>
      </c>
      <c r="K80" s="60">
        <v>2</v>
      </c>
      <c r="L80" s="60">
        <v>4</v>
      </c>
      <c r="M80" s="60">
        <v>6</v>
      </c>
      <c r="N80" s="60">
        <v>8</v>
      </c>
      <c r="O80" s="60">
        <v>9</v>
      </c>
      <c r="P80" s="60">
        <v>9</v>
      </c>
    </row>
    <row r="81" spans="1:34" s="71" customFormat="1" x14ac:dyDescent="0.25">
      <c r="A81" s="78">
        <v>2</v>
      </c>
      <c r="B81" s="78">
        <v>1</v>
      </c>
      <c r="C81" s="78">
        <v>3</v>
      </c>
      <c r="D81" s="279" t="s">
        <v>112</v>
      </c>
      <c r="E81" s="79" t="s">
        <v>2</v>
      </c>
      <c r="F81" s="80" t="s">
        <v>113</v>
      </c>
      <c r="G81" s="78"/>
      <c r="H81" s="78"/>
      <c r="I81" s="78"/>
      <c r="J81" s="78"/>
      <c r="K81" s="81"/>
      <c r="L81" s="81"/>
      <c r="M81" s="81"/>
      <c r="N81" s="81"/>
      <c r="O81" s="81"/>
      <c r="P81" s="81"/>
    </row>
    <row r="82" spans="1:34" s="71" customFormat="1" ht="13.5" customHeight="1" x14ac:dyDescent="0.25">
      <c r="A82" s="30">
        <v>2</v>
      </c>
      <c r="B82" s="30">
        <v>1</v>
      </c>
      <c r="C82" s="30">
        <v>3</v>
      </c>
      <c r="D82" s="274"/>
      <c r="E82" s="50" t="s">
        <v>38</v>
      </c>
      <c r="F82" s="54" t="s">
        <v>114</v>
      </c>
      <c r="G82" s="57" t="s">
        <v>17</v>
      </c>
      <c r="H82" s="57" t="s">
        <v>18</v>
      </c>
      <c r="I82" s="57" t="s">
        <v>19</v>
      </c>
      <c r="J82" s="60">
        <v>3</v>
      </c>
      <c r="K82" s="60">
        <f>+J82+7</f>
        <v>10</v>
      </c>
      <c r="L82" s="60">
        <f>+K82+12</f>
        <v>22</v>
      </c>
      <c r="M82" s="60">
        <f>+L82+14</f>
        <v>36</v>
      </c>
      <c r="N82" s="60">
        <f>+M82+16</f>
        <v>52</v>
      </c>
      <c r="O82" s="60">
        <f>+N82+2</f>
        <v>54</v>
      </c>
      <c r="P82" s="60">
        <v>54</v>
      </c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</row>
    <row r="83" spans="1:34" ht="12.4" customHeight="1" x14ac:dyDescent="0.25">
      <c r="A83" s="30">
        <v>2</v>
      </c>
      <c r="B83" s="30">
        <v>1</v>
      </c>
      <c r="C83" s="30">
        <v>3</v>
      </c>
      <c r="D83" s="274"/>
      <c r="E83" s="50" t="s">
        <v>38</v>
      </c>
      <c r="F83" s="54" t="s">
        <v>115</v>
      </c>
      <c r="G83" s="57" t="s">
        <v>21</v>
      </c>
      <c r="H83" s="57" t="s">
        <v>18</v>
      </c>
      <c r="I83" s="57" t="s">
        <v>19</v>
      </c>
      <c r="J83" s="60">
        <v>8</v>
      </c>
      <c r="K83" s="60">
        <f>J83</f>
        <v>8</v>
      </c>
      <c r="L83" s="60">
        <f>+K83+10</f>
        <v>18</v>
      </c>
      <c r="M83" s="60">
        <f>+L83+12</f>
        <v>30</v>
      </c>
      <c r="N83" s="60">
        <f>+M83+14</f>
        <v>44</v>
      </c>
      <c r="O83" s="60">
        <f>+N83+2</f>
        <v>46</v>
      </c>
      <c r="P83" s="60">
        <f>O83</f>
        <v>46</v>
      </c>
    </row>
    <row r="84" spans="1:34" ht="12.4" customHeight="1" x14ac:dyDescent="0.25">
      <c r="A84" s="30">
        <v>2</v>
      </c>
      <c r="B84" s="30">
        <v>1</v>
      </c>
      <c r="C84" s="30">
        <v>3</v>
      </c>
      <c r="D84" s="274"/>
      <c r="E84" s="50" t="s">
        <v>38</v>
      </c>
      <c r="F84" s="54" t="s">
        <v>116</v>
      </c>
      <c r="G84" s="57" t="s">
        <v>21</v>
      </c>
      <c r="H84" s="57" t="s">
        <v>18</v>
      </c>
      <c r="I84" s="57" t="s">
        <v>23</v>
      </c>
      <c r="J84" s="60">
        <v>27</v>
      </c>
      <c r="K84" s="60">
        <v>27</v>
      </c>
      <c r="L84" s="60">
        <v>27</v>
      </c>
      <c r="M84" s="60">
        <v>27</v>
      </c>
      <c r="N84" s="60">
        <v>27</v>
      </c>
      <c r="O84" s="60">
        <v>27</v>
      </c>
      <c r="P84" s="60">
        <v>27</v>
      </c>
    </row>
    <row r="85" spans="1:34" s="71" customFormat="1" ht="12.4" customHeight="1" x14ac:dyDescent="0.25">
      <c r="A85" s="72">
        <v>2</v>
      </c>
      <c r="B85" s="72">
        <v>2</v>
      </c>
      <c r="C85" s="72">
        <v>0</v>
      </c>
      <c r="D85" s="276"/>
      <c r="E85" s="73" t="s">
        <v>1</v>
      </c>
      <c r="F85" s="74" t="s">
        <v>117</v>
      </c>
      <c r="G85" s="144"/>
      <c r="H85" s="72"/>
      <c r="I85" s="72"/>
      <c r="J85" s="72"/>
      <c r="K85" s="75"/>
      <c r="L85" s="75"/>
      <c r="M85" s="75"/>
      <c r="N85" s="75"/>
      <c r="O85" s="75"/>
      <c r="P85" s="75"/>
    </row>
    <row r="86" spans="1:34" ht="12.4" customHeight="1" x14ac:dyDescent="0.25">
      <c r="A86" s="30">
        <v>2</v>
      </c>
      <c r="B86" s="30">
        <v>2</v>
      </c>
      <c r="C86" s="30">
        <v>0</v>
      </c>
      <c r="D86" s="274"/>
      <c r="E86" s="50" t="s">
        <v>28</v>
      </c>
      <c r="F86" s="84" t="s">
        <v>118</v>
      </c>
      <c r="G86" s="30" t="s">
        <v>21</v>
      </c>
      <c r="H86" s="30" t="s">
        <v>18</v>
      </c>
      <c r="I86" s="57" t="s">
        <v>40</v>
      </c>
      <c r="J86" s="60">
        <v>925</v>
      </c>
      <c r="K86" s="60">
        <v>200</v>
      </c>
      <c r="L86" s="60">
        <f>+K86+200</f>
        <v>400</v>
      </c>
      <c r="M86" s="60">
        <f>+L86+250</f>
        <v>650</v>
      </c>
      <c r="N86" s="60">
        <f>+M86+250</f>
        <v>900</v>
      </c>
      <c r="O86" s="60">
        <f>+N86+25</f>
        <v>925</v>
      </c>
      <c r="P86" s="60">
        <f>O86</f>
        <v>925</v>
      </c>
    </row>
    <row r="87" spans="1:34" ht="12.4" customHeight="1" x14ac:dyDescent="0.25">
      <c r="A87" s="30">
        <v>2</v>
      </c>
      <c r="B87" s="30">
        <v>2</v>
      </c>
      <c r="C87" s="30">
        <v>0</v>
      </c>
      <c r="D87" s="274"/>
      <c r="E87" s="50" t="s">
        <v>28</v>
      </c>
      <c r="F87" s="84" t="s">
        <v>119</v>
      </c>
      <c r="G87" s="30" t="s">
        <v>21</v>
      </c>
      <c r="H87" s="30" t="s">
        <v>18</v>
      </c>
      <c r="I87" s="57" t="s">
        <v>19</v>
      </c>
      <c r="J87" s="60">
        <v>30</v>
      </c>
      <c r="K87" s="60">
        <f>J87</f>
        <v>30</v>
      </c>
      <c r="L87" s="60">
        <f>+K87+33</f>
        <v>63</v>
      </c>
      <c r="M87" s="60">
        <f>+L87+36</f>
        <v>99</v>
      </c>
      <c r="N87" s="60">
        <f>+M87+39</f>
        <v>138</v>
      </c>
      <c r="O87" s="60">
        <f>+N87+10</f>
        <v>148</v>
      </c>
      <c r="P87" s="60">
        <f>138+10</f>
        <v>148</v>
      </c>
    </row>
    <row r="88" spans="1:34" ht="12" customHeight="1" x14ac:dyDescent="0.25">
      <c r="A88" s="30">
        <v>2</v>
      </c>
      <c r="B88" s="30">
        <v>2</v>
      </c>
      <c r="C88" s="30">
        <v>0</v>
      </c>
      <c r="D88" s="274"/>
      <c r="E88" s="50" t="s">
        <v>28</v>
      </c>
      <c r="F88" s="54" t="s">
        <v>120</v>
      </c>
      <c r="G88" s="57" t="s">
        <v>17</v>
      </c>
      <c r="H88" s="30" t="s">
        <v>18</v>
      </c>
      <c r="I88" s="57" t="s">
        <v>19</v>
      </c>
      <c r="J88" s="60">
        <v>193</v>
      </c>
      <c r="K88" s="60">
        <f>+J88+4</f>
        <v>197</v>
      </c>
      <c r="L88" s="60">
        <f>+K88+3</f>
        <v>200</v>
      </c>
      <c r="M88" s="60">
        <f>+L88+4</f>
        <v>204</v>
      </c>
      <c r="N88" s="60">
        <f>+M88+2</f>
        <v>206</v>
      </c>
      <c r="O88" s="60">
        <f>+N88+1</f>
        <v>207</v>
      </c>
      <c r="P88" s="60">
        <v>207</v>
      </c>
    </row>
    <row r="89" spans="1:34" s="71" customFormat="1" x14ac:dyDescent="0.25">
      <c r="A89" s="78">
        <v>2</v>
      </c>
      <c r="B89" s="78">
        <v>2</v>
      </c>
      <c r="C89" s="78">
        <v>1</v>
      </c>
      <c r="D89" s="279" t="s">
        <v>121</v>
      </c>
      <c r="E89" s="79" t="s">
        <v>2</v>
      </c>
      <c r="F89" s="80" t="s">
        <v>122</v>
      </c>
      <c r="G89" s="78"/>
      <c r="H89" s="78"/>
      <c r="I89" s="78"/>
      <c r="J89" s="78"/>
      <c r="K89" s="81"/>
      <c r="L89" s="81"/>
      <c r="M89" s="81"/>
      <c r="N89" s="81"/>
      <c r="O89" s="81"/>
      <c r="P89" s="81"/>
    </row>
    <row r="90" spans="1:34" ht="12.4" customHeight="1" x14ac:dyDescent="0.25">
      <c r="A90" s="30">
        <v>2</v>
      </c>
      <c r="B90" s="30">
        <v>2</v>
      </c>
      <c r="C90" s="30">
        <v>1</v>
      </c>
      <c r="D90" s="274"/>
      <c r="E90" s="50" t="s">
        <v>38</v>
      </c>
      <c r="F90" s="84" t="s">
        <v>123</v>
      </c>
      <c r="G90" s="30" t="s">
        <v>17</v>
      </c>
      <c r="H90" s="57" t="s">
        <v>22</v>
      </c>
      <c r="I90" s="57" t="s">
        <v>19</v>
      </c>
      <c r="J90" s="244">
        <v>0.5</v>
      </c>
      <c r="K90" s="140">
        <v>1</v>
      </c>
      <c r="L90" s="140">
        <v>1</v>
      </c>
      <c r="M90" s="140">
        <v>1</v>
      </c>
      <c r="N90" s="140">
        <v>1</v>
      </c>
      <c r="O90" s="140">
        <v>1</v>
      </c>
      <c r="P90" s="140">
        <v>1</v>
      </c>
    </row>
    <row r="91" spans="1:34" s="71" customFormat="1" x14ac:dyDescent="0.25">
      <c r="A91" s="78">
        <v>2</v>
      </c>
      <c r="B91" s="78">
        <v>2</v>
      </c>
      <c r="C91" s="78">
        <v>2</v>
      </c>
      <c r="D91" s="279" t="s">
        <v>124</v>
      </c>
      <c r="E91" s="79" t="s">
        <v>2</v>
      </c>
      <c r="F91" s="80" t="s">
        <v>125</v>
      </c>
      <c r="G91" s="78"/>
      <c r="H91" s="78"/>
      <c r="I91" s="78"/>
      <c r="J91" s="78"/>
      <c r="K91" s="81"/>
      <c r="L91" s="81"/>
      <c r="M91" s="81"/>
      <c r="N91" s="81"/>
      <c r="O91" s="81"/>
      <c r="P91" s="81"/>
    </row>
    <row r="92" spans="1:34" ht="12.4" customHeight="1" x14ac:dyDescent="0.25">
      <c r="A92" s="30">
        <v>2</v>
      </c>
      <c r="B92" s="30">
        <v>2</v>
      </c>
      <c r="C92" s="30">
        <v>2</v>
      </c>
      <c r="D92" s="274"/>
      <c r="E92" s="50" t="s">
        <v>38</v>
      </c>
      <c r="F92" s="54" t="s">
        <v>126</v>
      </c>
      <c r="G92" s="57" t="s">
        <v>17</v>
      </c>
      <c r="H92" s="57" t="s">
        <v>22</v>
      </c>
      <c r="I92" s="57" t="s">
        <v>19</v>
      </c>
      <c r="J92" s="140">
        <v>0.32</v>
      </c>
      <c r="K92" s="140">
        <v>0.52</v>
      </c>
      <c r="L92" s="140">
        <v>0.72</v>
      </c>
      <c r="M92" s="140">
        <v>0.82</v>
      </c>
      <c r="N92" s="140">
        <v>1</v>
      </c>
      <c r="O92" s="140">
        <v>1</v>
      </c>
      <c r="P92" s="140">
        <v>1</v>
      </c>
    </row>
    <row r="93" spans="1:34" ht="12.4" customHeight="1" x14ac:dyDescent="0.25">
      <c r="A93" s="30">
        <v>2</v>
      </c>
      <c r="B93" s="30">
        <v>2</v>
      </c>
      <c r="C93" s="30">
        <v>2</v>
      </c>
      <c r="D93" s="274"/>
      <c r="E93" s="50" t="s">
        <v>38</v>
      </c>
      <c r="F93" s="84" t="s">
        <v>127</v>
      </c>
      <c r="G93" s="30" t="s">
        <v>17</v>
      </c>
      <c r="H93" s="30" t="s">
        <v>18</v>
      </c>
      <c r="I93" s="57" t="s">
        <v>40</v>
      </c>
      <c r="J93" s="60">
        <v>23</v>
      </c>
      <c r="K93" s="60">
        <v>28</v>
      </c>
      <c r="L93" s="60">
        <f>+K93+30</f>
        <v>58</v>
      </c>
      <c r="M93" s="60">
        <f>+L93+31</f>
        <v>89</v>
      </c>
      <c r="N93" s="60">
        <f>+M93+32</f>
        <v>121</v>
      </c>
      <c r="O93" s="60">
        <f>+N93+33</f>
        <v>154</v>
      </c>
      <c r="P93" s="60">
        <f>121+33</f>
        <v>154</v>
      </c>
    </row>
    <row r="94" spans="1:34" ht="12.4" customHeight="1" x14ac:dyDescent="0.25">
      <c r="A94" s="30">
        <v>2</v>
      </c>
      <c r="B94" s="30">
        <v>2</v>
      </c>
      <c r="C94" s="30">
        <v>2</v>
      </c>
      <c r="D94" s="274"/>
      <c r="E94" s="50" t="s">
        <v>38</v>
      </c>
      <c r="F94" s="84" t="s">
        <v>128</v>
      </c>
      <c r="G94" s="30" t="s">
        <v>17</v>
      </c>
      <c r="H94" s="57" t="s">
        <v>18</v>
      </c>
      <c r="I94" s="57" t="s">
        <v>40</v>
      </c>
      <c r="J94" s="60">
        <v>9</v>
      </c>
      <c r="K94" s="60">
        <v>22</v>
      </c>
      <c r="L94" s="60">
        <f>+K94+22</f>
        <v>44</v>
      </c>
      <c r="M94" s="60">
        <f>22+L94</f>
        <v>66</v>
      </c>
      <c r="N94" s="60">
        <f>23+M94</f>
        <v>89</v>
      </c>
      <c r="O94" s="60">
        <f>+N94+3</f>
        <v>92</v>
      </c>
      <c r="P94" s="60">
        <f>89+3</f>
        <v>92</v>
      </c>
    </row>
    <row r="95" spans="1:34" s="71" customFormat="1" x14ac:dyDescent="0.25">
      <c r="A95" s="78">
        <v>2</v>
      </c>
      <c r="B95" s="78">
        <v>2</v>
      </c>
      <c r="C95" s="78">
        <v>3</v>
      </c>
      <c r="D95" s="279" t="s">
        <v>73</v>
      </c>
      <c r="E95" s="79" t="s">
        <v>2</v>
      </c>
      <c r="F95" s="80" t="s">
        <v>129</v>
      </c>
      <c r="G95" s="78"/>
      <c r="H95" s="78"/>
      <c r="I95" s="78"/>
      <c r="J95" s="78"/>
      <c r="K95" s="81"/>
      <c r="L95" s="81"/>
      <c r="M95" s="81"/>
      <c r="N95" s="81"/>
      <c r="O95" s="81"/>
      <c r="P95" s="81"/>
    </row>
    <row r="96" spans="1:34" s="21" customFormat="1" ht="12.4" customHeight="1" x14ac:dyDescent="0.25">
      <c r="A96" s="30">
        <v>2</v>
      </c>
      <c r="B96" s="30">
        <v>2</v>
      </c>
      <c r="C96" s="30">
        <v>3</v>
      </c>
      <c r="D96" s="274"/>
      <c r="E96" s="50" t="s">
        <v>38</v>
      </c>
      <c r="F96" s="54" t="s">
        <v>130</v>
      </c>
      <c r="G96" s="57" t="s">
        <v>17</v>
      </c>
      <c r="H96" s="30" t="s">
        <v>18</v>
      </c>
      <c r="I96" s="57" t="s">
        <v>40</v>
      </c>
      <c r="J96" s="60">
        <v>30</v>
      </c>
      <c r="K96" s="60">
        <v>35</v>
      </c>
      <c r="L96" s="60">
        <f>+K96+40</f>
        <v>75</v>
      </c>
      <c r="M96" s="60">
        <f>+L96+42</f>
        <v>117</v>
      </c>
      <c r="N96" s="60">
        <f>+M96+44</f>
        <v>161</v>
      </c>
      <c r="O96" s="60">
        <f>+N96+4</f>
        <v>165</v>
      </c>
      <c r="P96" s="60">
        <v>165</v>
      </c>
    </row>
    <row r="97" spans="1:34" ht="12.4" customHeight="1" x14ac:dyDescent="0.25">
      <c r="A97" s="30">
        <v>2</v>
      </c>
      <c r="B97" s="30">
        <v>2</v>
      </c>
      <c r="C97" s="30">
        <v>3</v>
      </c>
      <c r="D97" s="274"/>
      <c r="E97" s="50" t="s">
        <v>38</v>
      </c>
      <c r="F97" s="54" t="s">
        <v>131</v>
      </c>
      <c r="G97" s="57" t="s">
        <v>17</v>
      </c>
      <c r="H97" s="30" t="s">
        <v>18</v>
      </c>
      <c r="I97" s="57" t="s">
        <v>40</v>
      </c>
      <c r="J97" s="60">
        <v>1</v>
      </c>
      <c r="K97" s="60">
        <v>2</v>
      </c>
      <c r="L97" s="60">
        <f>+K97+2</f>
        <v>4</v>
      </c>
      <c r="M97" s="60">
        <f>+L97+2</f>
        <v>6</v>
      </c>
      <c r="N97" s="60">
        <f>+M97+2</f>
        <v>8</v>
      </c>
      <c r="O97" s="60">
        <f>+N97+1</f>
        <v>9</v>
      </c>
      <c r="P97" s="60">
        <v>9</v>
      </c>
    </row>
    <row r="98" spans="1:34" s="71" customFormat="1" ht="12.4" customHeight="1" x14ac:dyDescent="0.25">
      <c r="A98" s="87">
        <v>3</v>
      </c>
      <c r="B98" s="87">
        <v>0</v>
      </c>
      <c r="C98" s="87">
        <v>0</v>
      </c>
      <c r="D98" s="280"/>
      <c r="E98" s="88" t="s">
        <v>0</v>
      </c>
      <c r="F98" s="89" t="s">
        <v>132</v>
      </c>
      <c r="G98" s="87"/>
      <c r="H98" s="87"/>
      <c r="I98" s="87"/>
      <c r="J98" s="87"/>
      <c r="K98" s="90"/>
      <c r="L98" s="90"/>
      <c r="M98" s="90"/>
      <c r="N98" s="90"/>
      <c r="O98" s="90"/>
      <c r="P98" s="90"/>
    </row>
    <row r="99" spans="1:34" ht="12.4" customHeight="1" x14ac:dyDescent="0.25">
      <c r="A99" s="30">
        <v>3</v>
      </c>
      <c r="B99" s="30">
        <v>0</v>
      </c>
      <c r="C99" s="30">
        <v>0</v>
      </c>
      <c r="D99" s="274"/>
      <c r="E99" s="50" t="s">
        <v>15</v>
      </c>
      <c r="F99" s="54" t="s">
        <v>133</v>
      </c>
      <c r="G99" s="57" t="s">
        <v>21</v>
      </c>
      <c r="H99" s="30" t="s">
        <v>18</v>
      </c>
      <c r="I99" s="57" t="s">
        <v>23</v>
      </c>
      <c r="J99" s="60">
        <v>1</v>
      </c>
      <c r="K99" s="60">
        <v>1</v>
      </c>
      <c r="L99" s="60">
        <v>1</v>
      </c>
      <c r="M99" s="60">
        <v>1</v>
      </c>
      <c r="N99" s="60">
        <v>1</v>
      </c>
      <c r="O99" s="60">
        <v>1</v>
      </c>
      <c r="P99" s="60">
        <v>1</v>
      </c>
    </row>
    <row r="100" spans="1:34" s="290" customFormat="1" ht="12.4" customHeight="1" x14ac:dyDescent="0.25">
      <c r="A100" s="30">
        <v>3</v>
      </c>
      <c r="B100" s="30">
        <v>2</v>
      </c>
      <c r="C100" s="30">
        <v>1</v>
      </c>
      <c r="D100" s="274"/>
      <c r="E100" s="50" t="s">
        <v>15</v>
      </c>
      <c r="F100" s="54" t="s">
        <v>134</v>
      </c>
      <c r="G100" s="57" t="s">
        <v>135</v>
      </c>
      <c r="H100" s="30" t="s">
        <v>18</v>
      </c>
      <c r="I100" s="57" t="s">
        <v>40</v>
      </c>
      <c r="J100" s="60">
        <v>31</v>
      </c>
      <c r="K100" s="60">
        <v>35</v>
      </c>
      <c r="L100" s="60">
        <f>15+K100</f>
        <v>50</v>
      </c>
      <c r="M100" s="60">
        <f>15+L100</f>
        <v>65</v>
      </c>
      <c r="N100" s="60">
        <f>20+M100</f>
        <v>85</v>
      </c>
      <c r="O100" s="60">
        <f>N100</f>
        <v>85</v>
      </c>
      <c r="P100" s="60">
        <f>O100</f>
        <v>85</v>
      </c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</row>
    <row r="101" spans="1:34" ht="12.4" customHeight="1" x14ac:dyDescent="0.25">
      <c r="A101" s="30">
        <v>3</v>
      </c>
      <c r="B101" s="30">
        <v>0</v>
      </c>
      <c r="C101" s="30">
        <v>0</v>
      </c>
      <c r="D101" s="274"/>
      <c r="E101" s="50" t="s">
        <v>15</v>
      </c>
      <c r="F101" s="293" t="s">
        <v>136</v>
      </c>
      <c r="G101" s="175" t="s">
        <v>17</v>
      </c>
      <c r="H101" s="175" t="s">
        <v>22</v>
      </c>
      <c r="I101" s="57" t="s">
        <v>23</v>
      </c>
      <c r="J101" s="140">
        <v>0.3</v>
      </c>
      <c r="K101" s="140">
        <v>0.3</v>
      </c>
      <c r="L101" s="140">
        <v>0.3</v>
      </c>
      <c r="M101" s="140">
        <v>0.3</v>
      </c>
      <c r="N101" s="140">
        <v>0.3</v>
      </c>
      <c r="O101" s="140">
        <v>0</v>
      </c>
      <c r="P101" s="140">
        <v>0.3</v>
      </c>
    </row>
    <row r="102" spans="1:34" s="21" customFormat="1" ht="12.4" customHeight="1" x14ac:dyDescent="0.25">
      <c r="A102" s="30">
        <v>3</v>
      </c>
      <c r="B102" s="30">
        <v>0</v>
      </c>
      <c r="C102" s="30">
        <v>0</v>
      </c>
      <c r="D102" s="274"/>
      <c r="E102" s="50" t="s">
        <v>15</v>
      </c>
      <c r="F102" s="54" t="s">
        <v>137</v>
      </c>
      <c r="G102" s="57" t="s">
        <v>21</v>
      </c>
      <c r="H102" s="57" t="s">
        <v>22</v>
      </c>
      <c r="I102" s="57" t="s">
        <v>19</v>
      </c>
      <c r="J102" s="140">
        <v>0.75</v>
      </c>
      <c r="K102" s="140">
        <v>0.75</v>
      </c>
      <c r="L102" s="140">
        <v>0.8</v>
      </c>
      <c r="M102" s="140">
        <v>0.85</v>
      </c>
      <c r="N102" s="140">
        <v>0.85</v>
      </c>
      <c r="O102" s="140">
        <v>0.85</v>
      </c>
      <c r="P102" s="140">
        <v>0.85</v>
      </c>
    </row>
    <row r="103" spans="1:34" s="21" customFormat="1" ht="12.4" customHeight="1" x14ac:dyDescent="0.25">
      <c r="A103" s="93">
        <v>3</v>
      </c>
      <c r="B103" s="93">
        <v>1</v>
      </c>
      <c r="C103" s="93">
        <v>0</v>
      </c>
      <c r="D103" s="281"/>
      <c r="E103" s="94" t="s">
        <v>1</v>
      </c>
      <c r="F103" s="95" t="s">
        <v>138</v>
      </c>
      <c r="G103" s="96"/>
      <c r="H103" s="96"/>
      <c r="I103" s="96"/>
      <c r="J103" s="96"/>
      <c r="K103" s="97"/>
      <c r="L103" s="97"/>
      <c r="M103" s="97"/>
      <c r="N103" s="97"/>
      <c r="O103" s="97"/>
      <c r="P103" s="97"/>
    </row>
    <row r="104" spans="1:34" s="21" customFormat="1" ht="12.4" customHeight="1" x14ac:dyDescent="0.25">
      <c r="A104" s="30">
        <v>3</v>
      </c>
      <c r="B104" s="30">
        <v>1</v>
      </c>
      <c r="C104" s="30">
        <v>0</v>
      </c>
      <c r="D104" s="274"/>
      <c r="E104" s="50" t="s">
        <v>28</v>
      </c>
      <c r="F104" s="54" t="s">
        <v>139</v>
      </c>
      <c r="G104" s="57" t="s">
        <v>21</v>
      </c>
      <c r="H104" s="57" t="s">
        <v>22</v>
      </c>
      <c r="I104" s="57" t="s">
        <v>19</v>
      </c>
      <c r="J104" s="140">
        <v>0.43</v>
      </c>
      <c r="K104" s="140">
        <v>0.43</v>
      </c>
      <c r="L104" s="140">
        <v>0.38</v>
      </c>
      <c r="M104" s="140">
        <v>0.38</v>
      </c>
      <c r="N104" s="140">
        <v>0.44</v>
      </c>
      <c r="O104" s="140">
        <v>0.44</v>
      </c>
      <c r="P104" s="140">
        <v>0.44</v>
      </c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</row>
    <row r="105" spans="1:34" s="21" customFormat="1" ht="12.4" customHeight="1" x14ac:dyDescent="0.25">
      <c r="A105" s="30">
        <v>3</v>
      </c>
      <c r="B105" s="30">
        <v>1</v>
      </c>
      <c r="C105" s="30">
        <v>0</v>
      </c>
      <c r="D105" s="274"/>
      <c r="E105" s="50" t="s">
        <v>28</v>
      </c>
      <c r="F105" s="54" t="s">
        <v>140</v>
      </c>
      <c r="G105" s="57" t="s">
        <v>21</v>
      </c>
      <c r="H105" s="30" t="s">
        <v>18</v>
      </c>
      <c r="I105" s="57" t="s">
        <v>19</v>
      </c>
      <c r="J105" s="60">
        <v>4</v>
      </c>
      <c r="K105" s="60">
        <v>4</v>
      </c>
      <c r="L105" s="60">
        <v>4.0999999999999996</v>
      </c>
      <c r="M105" s="60">
        <v>4.2</v>
      </c>
      <c r="N105" s="60">
        <v>4.2</v>
      </c>
      <c r="O105" s="60">
        <v>4.2</v>
      </c>
      <c r="P105" s="60">
        <v>4.2</v>
      </c>
    </row>
    <row r="106" spans="1:34" s="21" customFormat="1" ht="12.4" customHeight="1" x14ac:dyDescent="0.25">
      <c r="A106" s="30">
        <v>3</v>
      </c>
      <c r="B106" s="30">
        <v>1</v>
      </c>
      <c r="C106" s="30">
        <v>0</v>
      </c>
      <c r="D106" s="274"/>
      <c r="E106" s="50" t="s">
        <v>28</v>
      </c>
      <c r="F106" s="54" t="s">
        <v>141</v>
      </c>
      <c r="G106" s="57" t="s">
        <v>21</v>
      </c>
      <c r="H106" s="30" t="s">
        <v>18</v>
      </c>
      <c r="I106" s="57" t="s">
        <v>19</v>
      </c>
      <c r="J106" s="60">
        <v>4.2</v>
      </c>
      <c r="K106" s="60">
        <v>4.2</v>
      </c>
      <c r="L106" s="60">
        <v>4.2</v>
      </c>
      <c r="M106" s="60">
        <v>4.2</v>
      </c>
      <c r="N106" s="60">
        <v>4.3</v>
      </c>
      <c r="O106" s="60">
        <v>4.3</v>
      </c>
      <c r="P106" s="60">
        <v>4.3</v>
      </c>
    </row>
    <row r="107" spans="1:34" s="21" customFormat="1" ht="12.4" customHeight="1" x14ac:dyDescent="0.25">
      <c r="A107" s="30">
        <v>3</v>
      </c>
      <c r="B107" s="30">
        <v>1</v>
      </c>
      <c r="C107" s="30">
        <v>0</v>
      </c>
      <c r="D107" s="274"/>
      <c r="E107" s="50" t="s">
        <v>28</v>
      </c>
      <c r="F107" s="54" t="s">
        <v>142</v>
      </c>
      <c r="G107" s="57" t="s">
        <v>21</v>
      </c>
      <c r="H107" s="57" t="s">
        <v>22</v>
      </c>
      <c r="I107" s="57" t="s">
        <v>40</v>
      </c>
      <c r="J107" s="140">
        <v>0</v>
      </c>
      <c r="K107" s="140">
        <v>0.15</v>
      </c>
      <c r="L107" s="140">
        <v>0.4</v>
      </c>
      <c r="M107" s="140">
        <v>0.6</v>
      </c>
      <c r="N107" s="140">
        <v>0.85</v>
      </c>
      <c r="O107" s="140">
        <v>0.9</v>
      </c>
      <c r="P107" s="140">
        <v>0.9</v>
      </c>
    </row>
    <row r="108" spans="1:34" s="21" customFormat="1" ht="12.4" customHeight="1" x14ac:dyDescent="0.25">
      <c r="A108" s="30">
        <v>3</v>
      </c>
      <c r="B108" s="30">
        <v>1</v>
      </c>
      <c r="C108" s="30">
        <v>1</v>
      </c>
      <c r="D108" s="274"/>
      <c r="E108" s="50" t="s">
        <v>28</v>
      </c>
      <c r="F108" s="54" t="s">
        <v>143</v>
      </c>
      <c r="G108" s="57" t="s">
        <v>17</v>
      </c>
      <c r="H108" s="30" t="s">
        <v>18</v>
      </c>
      <c r="I108" s="57" t="s">
        <v>19</v>
      </c>
      <c r="J108" s="60">
        <v>2</v>
      </c>
      <c r="K108" s="60">
        <v>2</v>
      </c>
      <c r="L108" s="60">
        <v>3</v>
      </c>
      <c r="M108" s="60">
        <v>3</v>
      </c>
      <c r="N108" s="60">
        <v>3</v>
      </c>
      <c r="O108" s="60">
        <v>3</v>
      </c>
      <c r="P108" s="60">
        <v>3</v>
      </c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</row>
    <row r="109" spans="1:34" s="172" customFormat="1" x14ac:dyDescent="0.25">
      <c r="A109" s="100">
        <v>3</v>
      </c>
      <c r="B109" s="100">
        <v>1</v>
      </c>
      <c r="C109" s="100">
        <v>1</v>
      </c>
      <c r="D109" s="282" t="s">
        <v>144</v>
      </c>
      <c r="E109" s="101" t="s">
        <v>2</v>
      </c>
      <c r="F109" s="102" t="s">
        <v>145</v>
      </c>
      <c r="G109" s="103"/>
      <c r="H109" s="103"/>
      <c r="I109" s="103"/>
      <c r="J109" s="103"/>
      <c r="K109" s="104"/>
      <c r="L109" s="104"/>
      <c r="M109" s="104"/>
      <c r="N109" s="104"/>
      <c r="O109" s="104"/>
      <c r="P109" s="104"/>
    </row>
    <row r="110" spans="1:34" s="21" customFormat="1" ht="12.4" customHeight="1" x14ac:dyDescent="0.25">
      <c r="A110" s="30">
        <v>3</v>
      </c>
      <c r="B110" s="30">
        <v>1</v>
      </c>
      <c r="C110" s="30">
        <v>1</v>
      </c>
      <c r="D110" s="274"/>
      <c r="E110" s="50" t="s">
        <v>38</v>
      </c>
      <c r="F110" s="54" t="s">
        <v>146</v>
      </c>
      <c r="G110" s="57" t="s">
        <v>17</v>
      </c>
      <c r="H110" s="57" t="s">
        <v>22</v>
      </c>
      <c r="I110" s="57" t="s">
        <v>40</v>
      </c>
      <c r="J110" s="140">
        <v>0.9</v>
      </c>
      <c r="K110" s="140">
        <v>0.9</v>
      </c>
      <c r="L110" s="140">
        <v>0.9</v>
      </c>
      <c r="M110" s="140">
        <v>0.9</v>
      </c>
      <c r="N110" s="140">
        <v>0.9</v>
      </c>
      <c r="O110" s="140">
        <v>0.9</v>
      </c>
      <c r="P110" s="140">
        <v>0.9</v>
      </c>
    </row>
    <row r="111" spans="1:34" s="21" customFormat="1" ht="12.4" customHeight="1" x14ac:dyDescent="0.25">
      <c r="A111" s="30">
        <v>3</v>
      </c>
      <c r="B111" s="30">
        <v>1</v>
      </c>
      <c r="C111" s="30">
        <v>1</v>
      </c>
      <c r="D111" s="274"/>
      <c r="E111" s="50" t="s">
        <v>38</v>
      </c>
      <c r="F111" s="54" t="s">
        <v>147</v>
      </c>
      <c r="G111" s="57" t="s">
        <v>21</v>
      </c>
      <c r="H111" s="57" t="s">
        <v>22</v>
      </c>
      <c r="I111" s="57" t="s">
        <v>23</v>
      </c>
      <c r="J111" s="140">
        <v>0.81</v>
      </c>
      <c r="K111" s="140">
        <v>0.81</v>
      </c>
      <c r="L111" s="140">
        <v>0.81</v>
      </c>
      <c r="M111" s="140">
        <v>0.81</v>
      </c>
      <c r="N111" s="140">
        <v>0.81</v>
      </c>
      <c r="O111" s="140">
        <v>0.81</v>
      </c>
      <c r="P111" s="140">
        <v>0.81</v>
      </c>
    </row>
    <row r="112" spans="1:34" ht="12.4" customHeight="1" x14ac:dyDescent="0.25">
      <c r="A112" s="30">
        <v>3</v>
      </c>
      <c r="B112" s="30">
        <v>1</v>
      </c>
      <c r="C112" s="30">
        <v>1</v>
      </c>
      <c r="D112" s="274"/>
      <c r="E112" s="50" t="s">
        <v>38</v>
      </c>
      <c r="F112" s="54" t="s">
        <v>148</v>
      </c>
      <c r="G112" s="57" t="s">
        <v>17</v>
      </c>
      <c r="H112" s="30" t="s">
        <v>18</v>
      </c>
      <c r="I112" s="57" t="s">
        <v>23</v>
      </c>
      <c r="J112" s="60">
        <v>4.5</v>
      </c>
      <c r="K112" s="60">
        <v>4.5</v>
      </c>
      <c r="L112" s="60">
        <v>4.5</v>
      </c>
      <c r="M112" s="60">
        <v>4.5</v>
      </c>
      <c r="N112" s="60">
        <v>4.5</v>
      </c>
      <c r="O112" s="60">
        <v>0</v>
      </c>
      <c r="P112" s="60">
        <v>4.5</v>
      </c>
    </row>
    <row r="113" spans="1:34" s="21" customFormat="1" ht="12.4" customHeight="1" x14ac:dyDescent="0.25">
      <c r="A113" s="93">
        <v>3</v>
      </c>
      <c r="B113" s="93">
        <v>2</v>
      </c>
      <c r="C113" s="93">
        <v>0</v>
      </c>
      <c r="D113" s="281"/>
      <c r="E113" s="94" t="s">
        <v>1</v>
      </c>
      <c r="F113" s="95" t="s">
        <v>149</v>
      </c>
      <c r="G113" s="96"/>
      <c r="H113" s="96"/>
      <c r="I113" s="96"/>
      <c r="J113" s="96"/>
      <c r="K113" s="97"/>
      <c r="L113" s="97"/>
      <c r="M113" s="97"/>
      <c r="N113" s="97"/>
      <c r="O113" s="97"/>
      <c r="P113" s="97"/>
    </row>
    <row r="114" spans="1:34" s="21" customFormat="1" ht="12.4" customHeight="1" x14ac:dyDescent="0.25">
      <c r="A114" s="30">
        <v>3</v>
      </c>
      <c r="B114" s="30">
        <v>2</v>
      </c>
      <c r="C114" s="30">
        <v>0</v>
      </c>
      <c r="D114" s="274"/>
      <c r="E114" s="158" t="s">
        <v>28</v>
      </c>
      <c r="F114" s="54" t="s">
        <v>150</v>
      </c>
      <c r="G114" s="57" t="s">
        <v>21</v>
      </c>
      <c r="H114" s="30" t="s">
        <v>18</v>
      </c>
      <c r="I114" s="57" t="s">
        <v>40</v>
      </c>
      <c r="J114" s="60">
        <v>4800</v>
      </c>
      <c r="K114" s="60">
        <v>4971</v>
      </c>
      <c r="L114" s="60">
        <f>5224+K114</f>
        <v>10195</v>
      </c>
      <c r="M114" s="60">
        <f>5506+L114</f>
        <v>15701</v>
      </c>
      <c r="N114" s="60">
        <f>M114+5820</f>
        <v>21521</v>
      </c>
      <c r="O114" s="60">
        <f>N114</f>
        <v>21521</v>
      </c>
      <c r="P114" s="60">
        <f>O114</f>
        <v>21521</v>
      </c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</row>
    <row r="115" spans="1:34" ht="12.4" customHeight="1" x14ac:dyDescent="0.25">
      <c r="A115" s="30">
        <v>3</v>
      </c>
      <c r="B115" s="30">
        <v>2</v>
      </c>
      <c r="C115" s="30">
        <v>0</v>
      </c>
      <c r="D115" s="274"/>
      <c r="E115" s="50" t="s">
        <v>28</v>
      </c>
      <c r="F115" s="54" t="s">
        <v>151</v>
      </c>
      <c r="G115" s="57" t="s">
        <v>17</v>
      </c>
      <c r="H115" s="30" t="s">
        <v>18</v>
      </c>
      <c r="I115" s="57" t="s">
        <v>40</v>
      </c>
      <c r="J115" s="60">
        <v>1500</v>
      </c>
      <c r="K115" s="60">
        <v>1500</v>
      </c>
      <c r="L115" s="60">
        <f>1600+K115</f>
        <v>3100</v>
      </c>
      <c r="M115" s="60">
        <f>1700+L115</f>
        <v>4800</v>
      </c>
      <c r="N115" s="60">
        <f>1800+M115</f>
        <v>6600</v>
      </c>
      <c r="O115" s="60">
        <f>2000+N115</f>
        <v>8600</v>
      </c>
      <c r="P115" s="60">
        <v>8600</v>
      </c>
    </row>
    <row r="116" spans="1:34" s="64" customFormat="1" ht="12.4" customHeight="1" x14ac:dyDescent="0.25">
      <c r="A116" s="30">
        <v>3</v>
      </c>
      <c r="B116" s="30">
        <v>2</v>
      </c>
      <c r="C116" s="30">
        <v>0</v>
      </c>
      <c r="D116" s="274"/>
      <c r="E116" s="50" t="s">
        <v>28</v>
      </c>
      <c r="F116" s="54" t="s">
        <v>152</v>
      </c>
      <c r="G116" s="57" t="s">
        <v>21</v>
      </c>
      <c r="H116" s="30" t="s">
        <v>18</v>
      </c>
      <c r="I116" s="57" t="s">
        <v>40</v>
      </c>
      <c r="J116" s="60">
        <v>375</v>
      </c>
      <c r="K116" s="60">
        <v>375</v>
      </c>
      <c r="L116" s="60">
        <f>393+K116</f>
        <v>768</v>
      </c>
      <c r="M116" s="60">
        <f>412+L116</f>
        <v>1180</v>
      </c>
      <c r="N116" s="60">
        <f>432+M116</f>
        <v>1612</v>
      </c>
      <c r="O116" s="60">
        <f>75+N116</f>
        <v>1687</v>
      </c>
      <c r="P116" s="60">
        <v>1687</v>
      </c>
    </row>
    <row r="117" spans="1:34" s="64" customFormat="1" ht="12.4" customHeight="1" x14ac:dyDescent="0.25">
      <c r="A117" s="30">
        <v>3</v>
      </c>
      <c r="B117" s="30">
        <v>2</v>
      </c>
      <c r="C117" s="30">
        <v>0</v>
      </c>
      <c r="D117" s="274"/>
      <c r="E117" s="50" t="s">
        <v>28</v>
      </c>
      <c r="F117" s="293" t="s">
        <v>153</v>
      </c>
      <c r="G117" s="175" t="s">
        <v>21</v>
      </c>
      <c r="H117" s="175" t="s">
        <v>18</v>
      </c>
      <c r="I117" s="57" t="s">
        <v>40</v>
      </c>
      <c r="J117" s="180">
        <v>20</v>
      </c>
      <c r="K117" s="180">
        <v>20</v>
      </c>
      <c r="L117" s="180">
        <f>+K117+21</f>
        <v>41</v>
      </c>
      <c r="M117" s="180">
        <f>+L117+22</f>
        <v>63</v>
      </c>
      <c r="N117" s="180">
        <f>+M117+23</f>
        <v>86</v>
      </c>
      <c r="O117" s="180">
        <f>+N117+2</f>
        <v>88</v>
      </c>
      <c r="P117" s="180">
        <f>O117</f>
        <v>88</v>
      </c>
    </row>
    <row r="118" spans="1:34" s="64" customFormat="1" ht="12.4" customHeight="1" x14ac:dyDescent="0.25">
      <c r="A118" s="30">
        <v>3</v>
      </c>
      <c r="B118" s="30">
        <v>2</v>
      </c>
      <c r="C118" s="30">
        <v>0</v>
      </c>
      <c r="D118" s="274"/>
      <c r="E118" s="50" t="s">
        <v>28</v>
      </c>
      <c r="F118" s="64" t="s">
        <v>154</v>
      </c>
      <c r="G118" s="175" t="s">
        <v>21</v>
      </c>
      <c r="H118" s="295" t="s">
        <v>18</v>
      </c>
      <c r="I118" s="57" t="s">
        <v>40</v>
      </c>
      <c r="J118" s="60">
        <v>46000</v>
      </c>
      <c r="K118" s="60">
        <v>48300</v>
      </c>
      <c r="L118" s="60">
        <f>50700+K118</f>
        <v>99000</v>
      </c>
      <c r="M118" s="60">
        <f>53200+L118</f>
        <v>152200</v>
      </c>
      <c r="N118" s="60">
        <f>55900+M118</f>
        <v>208100</v>
      </c>
      <c r="O118" s="60">
        <f>8000+N118</f>
        <v>216100</v>
      </c>
      <c r="P118" s="60">
        <f>O118</f>
        <v>216100</v>
      </c>
    </row>
    <row r="119" spans="1:34" s="64" customFormat="1" ht="12.4" customHeight="1" x14ac:dyDescent="0.25">
      <c r="A119" s="30">
        <v>3</v>
      </c>
      <c r="B119" s="30">
        <v>2</v>
      </c>
      <c r="C119" s="30">
        <v>0</v>
      </c>
      <c r="D119" s="274"/>
      <c r="E119" s="158" t="s">
        <v>28</v>
      </c>
      <c r="F119" s="293" t="s">
        <v>155</v>
      </c>
      <c r="G119" s="175" t="s">
        <v>17</v>
      </c>
      <c r="H119" s="295" t="s">
        <v>18</v>
      </c>
      <c r="I119" s="57" t="s">
        <v>40</v>
      </c>
      <c r="J119" s="296">
        <v>4100000000</v>
      </c>
      <c r="K119" s="296">
        <v>4223000000</v>
      </c>
      <c r="L119" s="296">
        <f>4349690000+K119</f>
        <v>8572690000</v>
      </c>
      <c r="M119" s="296">
        <f>4480180700+L119</f>
        <v>13052870700</v>
      </c>
      <c r="N119" s="296">
        <f>4614586121+M119</f>
        <v>17667456821</v>
      </c>
      <c r="O119" s="296">
        <f>N119</f>
        <v>17667456821</v>
      </c>
      <c r="P119" s="296">
        <f>O119</f>
        <v>17667456821</v>
      </c>
    </row>
    <row r="120" spans="1:34" s="172" customFormat="1" x14ac:dyDescent="0.25">
      <c r="A120" s="100">
        <v>3</v>
      </c>
      <c r="B120" s="100">
        <v>2</v>
      </c>
      <c r="C120" s="100">
        <v>1</v>
      </c>
      <c r="D120" s="282" t="s">
        <v>156</v>
      </c>
      <c r="E120" s="101" t="s">
        <v>2</v>
      </c>
      <c r="F120" s="102" t="s">
        <v>157</v>
      </c>
      <c r="G120" s="103"/>
      <c r="H120" s="103"/>
      <c r="I120" s="103"/>
      <c r="J120" s="103"/>
      <c r="K120" s="104"/>
      <c r="L120" s="104"/>
      <c r="M120" s="104"/>
      <c r="N120" s="104"/>
      <c r="O120" s="104"/>
      <c r="P120" s="104"/>
    </row>
    <row r="121" spans="1:34" s="21" customFormat="1" ht="12.4" customHeight="1" x14ac:dyDescent="0.25">
      <c r="A121" s="30">
        <v>3</v>
      </c>
      <c r="B121" s="30">
        <v>2</v>
      </c>
      <c r="C121" s="30">
        <v>1</v>
      </c>
      <c r="D121" s="274"/>
      <c r="E121" s="158" t="s">
        <v>38</v>
      </c>
      <c r="F121" s="54" t="s">
        <v>158</v>
      </c>
      <c r="G121" s="57" t="s">
        <v>21</v>
      </c>
      <c r="H121" s="30" t="s">
        <v>18</v>
      </c>
      <c r="I121" s="57" t="s">
        <v>40</v>
      </c>
      <c r="J121" s="60">
        <v>11900</v>
      </c>
      <c r="K121" s="60">
        <v>10462</v>
      </c>
      <c r="L121" s="60">
        <f>10814+K121</f>
        <v>21276</v>
      </c>
      <c r="M121" s="60">
        <f>11203+L121</f>
        <v>32479</v>
      </c>
      <c r="N121" s="60">
        <f>11637+M121</f>
        <v>44116</v>
      </c>
      <c r="O121" s="60">
        <f>N121</f>
        <v>44116</v>
      </c>
      <c r="P121" s="60">
        <f>O121</f>
        <v>44116</v>
      </c>
    </row>
    <row r="122" spans="1:34" s="86" customFormat="1" ht="12.4" customHeight="1" x14ac:dyDescent="0.25">
      <c r="A122" s="30">
        <v>3</v>
      </c>
      <c r="B122" s="30">
        <v>2</v>
      </c>
      <c r="C122" s="30">
        <v>1</v>
      </c>
      <c r="D122" s="274"/>
      <c r="E122" s="50" t="s">
        <v>38</v>
      </c>
      <c r="F122" s="54" t="s">
        <v>159</v>
      </c>
      <c r="G122" s="57" t="s">
        <v>17</v>
      </c>
      <c r="H122" s="30" t="s">
        <v>18</v>
      </c>
      <c r="I122" s="57" t="s">
        <v>40</v>
      </c>
      <c r="J122" s="60">
        <v>1122</v>
      </c>
      <c r="K122" s="60">
        <v>1122</v>
      </c>
      <c r="L122" s="60">
        <f>1156+K122</f>
        <v>2278</v>
      </c>
      <c r="M122" s="60">
        <f>1191+L122</f>
        <v>3469</v>
      </c>
      <c r="N122" s="60">
        <f>1226+M122</f>
        <v>4695</v>
      </c>
      <c r="O122" s="60">
        <f>100+N122</f>
        <v>4795</v>
      </c>
      <c r="P122" s="60">
        <f>O122</f>
        <v>4795</v>
      </c>
    </row>
    <row r="123" spans="1:34" ht="12.4" customHeight="1" x14ac:dyDescent="0.25">
      <c r="A123" s="30">
        <v>3</v>
      </c>
      <c r="B123" s="30">
        <v>2</v>
      </c>
      <c r="C123" s="30">
        <v>1</v>
      </c>
      <c r="D123" s="274"/>
      <c r="E123" s="50" t="s">
        <v>38</v>
      </c>
      <c r="F123" s="293" t="s">
        <v>160</v>
      </c>
      <c r="G123" s="175" t="s">
        <v>17</v>
      </c>
      <c r="H123" s="295" t="s">
        <v>18</v>
      </c>
      <c r="I123" s="57" t="s">
        <v>40</v>
      </c>
      <c r="J123" s="60">
        <v>40</v>
      </c>
      <c r="K123" s="60">
        <v>40</v>
      </c>
      <c r="L123" s="60">
        <f>+K123+60</f>
        <v>100</v>
      </c>
      <c r="M123" s="60">
        <f>+L123+70</f>
        <v>170</v>
      </c>
      <c r="N123" s="60">
        <f>80+M123</f>
        <v>250</v>
      </c>
      <c r="O123" s="60">
        <f>10+N123</f>
        <v>260</v>
      </c>
      <c r="P123" s="60">
        <f>O123</f>
        <v>260</v>
      </c>
    </row>
    <row r="124" spans="1:34" ht="12.4" customHeight="1" x14ac:dyDescent="0.25">
      <c r="A124" s="30">
        <v>3</v>
      </c>
      <c r="B124" s="30">
        <v>2</v>
      </c>
      <c r="C124" s="30">
        <v>1</v>
      </c>
      <c r="D124" s="274"/>
      <c r="E124" s="50" t="s">
        <v>38</v>
      </c>
      <c r="F124" s="293" t="s">
        <v>161</v>
      </c>
      <c r="G124" s="175" t="s">
        <v>21</v>
      </c>
      <c r="H124" s="295" t="s">
        <v>18</v>
      </c>
      <c r="I124" s="175" t="s">
        <v>23</v>
      </c>
      <c r="J124" s="180">
        <v>7</v>
      </c>
      <c r="K124" s="180">
        <v>7</v>
      </c>
      <c r="L124" s="180">
        <v>7</v>
      </c>
      <c r="M124" s="180">
        <v>7</v>
      </c>
      <c r="N124" s="180">
        <v>7</v>
      </c>
      <c r="O124" s="180">
        <v>0</v>
      </c>
      <c r="P124" s="180">
        <v>7</v>
      </c>
    </row>
    <row r="125" spans="1:34" ht="12.4" customHeight="1" x14ac:dyDescent="0.25">
      <c r="A125" s="30">
        <v>3</v>
      </c>
      <c r="B125" s="30">
        <v>2</v>
      </c>
      <c r="C125" s="30">
        <v>0</v>
      </c>
      <c r="D125" s="274"/>
      <c r="E125" s="50" t="s">
        <v>38</v>
      </c>
      <c r="F125" s="293" t="s">
        <v>162</v>
      </c>
      <c r="G125" s="175" t="s">
        <v>21</v>
      </c>
      <c r="H125" s="295" t="s">
        <v>18</v>
      </c>
      <c r="I125" s="57" t="s">
        <v>40</v>
      </c>
      <c r="J125" s="180">
        <v>3</v>
      </c>
      <c r="K125" s="180">
        <v>3</v>
      </c>
      <c r="L125" s="180">
        <f>K125+3</f>
        <v>6</v>
      </c>
      <c r="M125" s="180">
        <f>L125+3</f>
        <v>9</v>
      </c>
      <c r="N125" s="180">
        <f>M125+3</f>
        <v>12</v>
      </c>
      <c r="O125" s="180">
        <f>N125</f>
        <v>12</v>
      </c>
      <c r="P125" s="180">
        <f>O125</f>
        <v>12</v>
      </c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</row>
    <row r="126" spans="1:34" s="172" customFormat="1" x14ac:dyDescent="0.25">
      <c r="A126" s="100">
        <v>3</v>
      </c>
      <c r="B126" s="100">
        <v>2</v>
      </c>
      <c r="C126" s="100">
        <v>2</v>
      </c>
      <c r="D126" s="282" t="s">
        <v>163</v>
      </c>
      <c r="E126" s="101" t="s">
        <v>2</v>
      </c>
      <c r="F126" s="102" t="s">
        <v>164</v>
      </c>
      <c r="G126" s="103"/>
      <c r="H126" s="103"/>
      <c r="I126" s="103"/>
      <c r="J126" s="103"/>
      <c r="K126" s="104"/>
      <c r="L126" s="104"/>
      <c r="M126" s="104"/>
      <c r="N126" s="104"/>
      <c r="O126" s="104"/>
      <c r="P126" s="104"/>
    </row>
    <row r="127" spans="1:34" s="64" customFormat="1" ht="12.4" customHeight="1" x14ac:dyDescent="0.25">
      <c r="A127" s="30">
        <v>3</v>
      </c>
      <c r="B127" s="30">
        <v>2</v>
      </c>
      <c r="C127" s="30">
        <v>2</v>
      </c>
      <c r="D127" s="277"/>
      <c r="E127" s="50" t="s">
        <v>38</v>
      </c>
      <c r="F127" s="54" t="s">
        <v>165</v>
      </c>
      <c r="G127" s="57" t="s">
        <v>21</v>
      </c>
      <c r="H127" s="30" t="s">
        <v>18</v>
      </c>
      <c r="I127" s="57" t="s">
        <v>40</v>
      </c>
      <c r="J127" s="60">
        <v>0</v>
      </c>
      <c r="K127" s="60">
        <v>1</v>
      </c>
      <c r="L127" s="60">
        <v>1</v>
      </c>
      <c r="M127" s="60">
        <v>1</v>
      </c>
      <c r="N127" s="60">
        <v>2</v>
      </c>
      <c r="O127" s="60">
        <v>2</v>
      </c>
      <c r="P127" s="60">
        <v>2</v>
      </c>
    </row>
    <row r="128" spans="1:34" s="64" customFormat="1" ht="12.4" customHeight="1" x14ac:dyDescent="0.25">
      <c r="A128" s="30">
        <v>3</v>
      </c>
      <c r="B128" s="30">
        <v>2</v>
      </c>
      <c r="C128" s="30">
        <v>2</v>
      </c>
      <c r="D128" s="274"/>
      <c r="E128" s="50" t="s">
        <v>38</v>
      </c>
      <c r="F128" s="54" t="s">
        <v>166</v>
      </c>
      <c r="G128" s="57" t="s">
        <v>17</v>
      </c>
      <c r="H128" s="30" t="s">
        <v>18</v>
      </c>
      <c r="I128" s="57" t="s">
        <v>40</v>
      </c>
      <c r="J128" s="60">
        <v>0</v>
      </c>
      <c r="K128" s="60">
        <v>0</v>
      </c>
      <c r="L128" s="60">
        <v>0</v>
      </c>
      <c r="M128" s="60">
        <v>0</v>
      </c>
      <c r="N128" s="60">
        <v>1</v>
      </c>
      <c r="O128" s="60">
        <v>1</v>
      </c>
      <c r="P128" s="60">
        <v>1</v>
      </c>
    </row>
    <row r="129" spans="1:16" s="64" customFormat="1" ht="12.4" customHeight="1" x14ac:dyDescent="0.25">
      <c r="A129" s="30">
        <v>3</v>
      </c>
      <c r="B129" s="30">
        <v>2</v>
      </c>
      <c r="C129" s="30">
        <v>2</v>
      </c>
      <c r="D129" s="274"/>
      <c r="E129" s="50" t="s">
        <v>38</v>
      </c>
      <c r="F129" s="54" t="s">
        <v>167</v>
      </c>
      <c r="G129" s="57" t="s">
        <v>17</v>
      </c>
      <c r="H129" s="30" t="s">
        <v>18</v>
      </c>
      <c r="I129" s="57" t="s">
        <v>40</v>
      </c>
      <c r="J129" s="60">
        <v>0</v>
      </c>
      <c r="K129" s="60">
        <v>0</v>
      </c>
      <c r="L129" s="60">
        <v>0</v>
      </c>
      <c r="M129" s="60">
        <v>0</v>
      </c>
      <c r="N129" s="60">
        <v>1</v>
      </c>
      <c r="O129" s="60">
        <v>1</v>
      </c>
      <c r="P129" s="60">
        <v>1</v>
      </c>
    </row>
    <row r="130" spans="1:16" s="172" customFormat="1" x14ac:dyDescent="0.25">
      <c r="A130" s="100">
        <v>3</v>
      </c>
      <c r="B130" s="100">
        <v>2</v>
      </c>
      <c r="C130" s="100">
        <v>3</v>
      </c>
      <c r="D130" s="282" t="s">
        <v>168</v>
      </c>
      <c r="E130" s="101" t="s">
        <v>2</v>
      </c>
      <c r="F130" s="102" t="s">
        <v>169</v>
      </c>
      <c r="G130" s="103"/>
      <c r="H130" s="103"/>
      <c r="I130" s="103"/>
      <c r="J130" s="103"/>
      <c r="K130" s="104"/>
      <c r="L130" s="104"/>
      <c r="M130" s="104"/>
      <c r="N130" s="104"/>
      <c r="O130" s="104"/>
      <c r="P130" s="104"/>
    </row>
    <row r="131" spans="1:16" ht="12.4" customHeight="1" x14ac:dyDescent="0.25">
      <c r="A131" s="30">
        <v>3</v>
      </c>
      <c r="B131" s="30">
        <v>2</v>
      </c>
      <c r="C131" s="30">
        <v>3</v>
      </c>
      <c r="D131" s="274"/>
      <c r="E131" s="50" t="s">
        <v>38</v>
      </c>
      <c r="F131" s="54" t="s">
        <v>170</v>
      </c>
      <c r="G131" s="57" t="s">
        <v>17</v>
      </c>
      <c r="H131" s="30" t="s">
        <v>18</v>
      </c>
      <c r="I131" s="57" t="s">
        <v>40</v>
      </c>
      <c r="J131" s="60">
        <v>0</v>
      </c>
      <c r="K131" s="60">
        <v>0</v>
      </c>
      <c r="L131" s="60">
        <v>1</v>
      </c>
      <c r="M131" s="60">
        <v>1</v>
      </c>
      <c r="N131" s="60">
        <v>1</v>
      </c>
      <c r="O131" s="60">
        <v>1</v>
      </c>
      <c r="P131" s="60">
        <v>1</v>
      </c>
    </row>
    <row r="132" spans="1:16" ht="12.4" customHeight="1" x14ac:dyDescent="0.25">
      <c r="A132" s="30">
        <v>3</v>
      </c>
      <c r="B132" s="30">
        <v>2</v>
      </c>
      <c r="C132" s="30">
        <v>3</v>
      </c>
      <c r="D132" s="274"/>
      <c r="E132" s="50" t="s">
        <v>38</v>
      </c>
      <c r="F132" s="54" t="s">
        <v>171</v>
      </c>
      <c r="G132" s="57" t="s">
        <v>135</v>
      </c>
      <c r="H132" s="57" t="s">
        <v>22</v>
      </c>
      <c r="I132" s="57" t="s">
        <v>30</v>
      </c>
      <c r="J132" s="140">
        <v>0</v>
      </c>
      <c r="K132" s="140">
        <v>0</v>
      </c>
      <c r="L132" s="140">
        <v>0.8</v>
      </c>
      <c r="M132" s="140">
        <v>0.85</v>
      </c>
      <c r="N132" s="140">
        <v>0.9</v>
      </c>
      <c r="O132" s="140">
        <v>0.9</v>
      </c>
      <c r="P132" s="140">
        <v>0.9</v>
      </c>
    </row>
    <row r="133" spans="1:16" ht="12.4" customHeight="1" x14ac:dyDescent="0.25">
      <c r="A133" s="30">
        <v>3</v>
      </c>
      <c r="B133" s="30">
        <v>2</v>
      </c>
      <c r="C133" s="30">
        <v>3</v>
      </c>
      <c r="D133" s="274"/>
      <c r="E133" s="158" t="s">
        <v>38</v>
      </c>
      <c r="F133" s="54" t="s">
        <v>648</v>
      </c>
      <c r="G133" s="57" t="s">
        <v>17</v>
      </c>
      <c r="H133" s="30" t="s">
        <v>18</v>
      </c>
      <c r="I133" s="57" t="s">
        <v>40</v>
      </c>
      <c r="J133" s="60">
        <v>0</v>
      </c>
      <c r="K133" s="60">
        <v>1</v>
      </c>
      <c r="L133" s="60">
        <v>3</v>
      </c>
      <c r="M133" s="60">
        <v>5</v>
      </c>
      <c r="N133" s="60">
        <v>6</v>
      </c>
      <c r="O133" s="60">
        <v>6</v>
      </c>
      <c r="P133" s="60">
        <v>6</v>
      </c>
    </row>
    <row r="134" spans="1:16" s="21" customFormat="1" ht="12.4" customHeight="1" x14ac:dyDescent="0.25">
      <c r="A134" s="93">
        <v>3</v>
      </c>
      <c r="B134" s="93">
        <v>3</v>
      </c>
      <c r="C134" s="93">
        <v>0</v>
      </c>
      <c r="D134" s="281"/>
      <c r="E134" s="94" t="s">
        <v>1</v>
      </c>
      <c r="F134" s="95" t="s">
        <v>172</v>
      </c>
      <c r="G134" s="96"/>
      <c r="H134" s="96"/>
      <c r="I134" s="96"/>
      <c r="J134" s="96"/>
      <c r="K134" s="97"/>
      <c r="L134" s="97"/>
      <c r="M134" s="97"/>
      <c r="N134" s="97"/>
      <c r="O134" s="97"/>
      <c r="P134" s="97"/>
    </row>
    <row r="135" spans="1:16" ht="12.4" customHeight="1" x14ac:dyDescent="0.25">
      <c r="A135" s="30">
        <v>3</v>
      </c>
      <c r="B135" s="30">
        <v>3</v>
      </c>
      <c r="C135" s="30">
        <v>0</v>
      </c>
      <c r="D135" s="274"/>
      <c r="E135" s="50" t="s">
        <v>28</v>
      </c>
      <c r="F135" s="54" t="s">
        <v>173</v>
      </c>
      <c r="G135" s="57" t="s">
        <v>17</v>
      </c>
      <c r="H135" s="57" t="s">
        <v>22</v>
      </c>
      <c r="I135" s="57" t="s">
        <v>19</v>
      </c>
      <c r="J135" s="60">
        <v>10</v>
      </c>
      <c r="K135" s="60">
        <f>J135</f>
        <v>10</v>
      </c>
      <c r="L135" s="60">
        <f>+K135+1</f>
        <v>11</v>
      </c>
      <c r="M135" s="60">
        <f>+L135+1</f>
        <v>12</v>
      </c>
      <c r="N135" s="60">
        <f>+M135+1</f>
        <v>13</v>
      </c>
      <c r="O135" s="60">
        <f>+N135+1</f>
        <v>14</v>
      </c>
      <c r="P135" s="60">
        <f>O135</f>
        <v>14</v>
      </c>
    </row>
    <row r="136" spans="1:16" ht="12.4" customHeight="1" x14ac:dyDescent="0.25">
      <c r="A136" s="30">
        <v>3</v>
      </c>
      <c r="B136" s="30">
        <v>3</v>
      </c>
      <c r="C136" s="30">
        <v>0</v>
      </c>
      <c r="D136" s="274"/>
      <c r="E136" s="50" t="s">
        <v>28</v>
      </c>
      <c r="F136" s="293" t="s">
        <v>174</v>
      </c>
      <c r="G136" s="175" t="s">
        <v>21</v>
      </c>
      <c r="H136" s="175" t="s">
        <v>18</v>
      </c>
      <c r="I136" s="175" t="s">
        <v>19</v>
      </c>
      <c r="J136" s="60">
        <v>8</v>
      </c>
      <c r="K136" s="180">
        <f>J136</f>
        <v>8</v>
      </c>
      <c r="L136" s="180">
        <f>+K136+1</f>
        <v>9</v>
      </c>
      <c r="M136" s="180">
        <f>+L136+1</f>
        <v>10</v>
      </c>
      <c r="N136" s="180">
        <f>+M136+1</f>
        <v>11</v>
      </c>
      <c r="O136" s="180">
        <f>N136</f>
        <v>11</v>
      </c>
      <c r="P136" s="180">
        <f>O136</f>
        <v>11</v>
      </c>
    </row>
    <row r="137" spans="1:16" ht="12.4" customHeight="1" x14ac:dyDescent="0.25">
      <c r="A137" s="30">
        <v>3</v>
      </c>
      <c r="B137" s="30">
        <v>3</v>
      </c>
      <c r="C137" s="30">
        <v>0</v>
      </c>
      <c r="D137" s="274"/>
      <c r="E137" s="50" t="s">
        <v>28</v>
      </c>
      <c r="F137" s="293" t="s">
        <v>175</v>
      </c>
      <c r="G137" s="175" t="s">
        <v>21</v>
      </c>
      <c r="H137" s="175" t="s">
        <v>18</v>
      </c>
      <c r="I137" s="175" t="s">
        <v>40</v>
      </c>
      <c r="J137" s="180">
        <v>3481</v>
      </c>
      <c r="K137" s="180">
        <v>3829</v>
      </c>
      <c r="L137" s="180">
        <f>+K137+4212</f>
        <v>8041</v>
      </c>
      <c r="M137" s="180">
        <f>4633+L137</f>
        <v>12674</v>
      </c>
      <c r="N137" s="180">
        <f>+M137+5097</f>
        <v>17771</v>
      </c>
      <c r="O137" s="180">
        <f>1869+N137</f>
        <v>19640</v>
      </c>
      <c r="P137" s="180">
        <f>O137</f>
        <v>19640</v>
      </c>
    </row>
    <row r="138" spans="1:16" ht="12.4" customHeight="1" x14ac:dyDescent="0.25">
      <c r="A138" s="30">
        <v>3</v>
      </c>
      <c r="B138" s="30">
        <v>3</v>
      </c>
      <c r="C138" s="30">
        <v>0</v>
      </c>
      <c r="D138" s="274"/>
      <c r="E138" s="50" t="s">
        <v>28</v>
      </c>
      <c r="F138" s="293" t="s">
        <v>176</v>
      </c>
      <c r="G138" s="175" t="s">
        <v>21</v>
      </c>
      <c r="H138" s="175" t="s">
        <v>18</v>
      </c>
      <c r="I138" s="175" t="s">
        <v>40</v>
      </c>
      <c r="J138" s="180">
        <v>372</v>
      </c>
      <c r="K138" s="180">
        <v>409</v>
      </c>
      <c r="L138" s="180">
        <f>+K138+450</f>
        <v>859</v>
      </c>
      <c r="M138" s="180">
        <f>+L138+495</f>
        <v>1354</v>
      </c>
      <c r="N138" s="180">
        <f>+M138+545</f>
        <v>1899</v>
      </c>
      <c r="O138" s="180">
        <f>+N138+200</f>
        <v>2099</v>
      </c>
      <c r="P138" s="180">
        <f>O138</f>
        <v>2099</v>
      </c>
    </row>
    <row r="139" spans="1:16" s="21" customFormat="1" x14ac:dyDescent="0.25">
      <c r="A139" s="100">
        <v>3</v>
      </c>
      <c r="B139" s="100">
        <v>3</v>
      </c>
      <c r="C139" s="100">
        <v>1</v>
      </c>
      <c r="D139" s="282" t="s">
        <v>78</v>
      </c>
      <c r="E139" s="101" t="s">
        <v>2</v>
      </c>
      <c r="F139" s="102" t="s">
        <v>177</v>
      </c>
      <c r="G139" s="103"/>
      <c r="H139" s="103"/>
      <c r="I139" s="103"/>
      <c r="J139" s="103"/>
      <c r="K139" s="104"/>
      <c r="L139" s="104"/>
      <c r="M139" s="104"/>
      <c r="N139" s="104"/>
      <c r="O139" s="104"/>
      <c r="P139" s="104"/>
    </row>
    <row r="140" spans="1:16" s="21" customFormat="1" ht="12.4" customHeight="1" x14ac:dyDescent="0.25">
      <c r="A140" s="30">
        <v>3</v>
      </c>
      <c r="B140" s="30">
        <v>3</v>
      </c>
      <c r="C140" s="30">
        <v>1</v>
      </c>
      <c r="D140" s="274"/>
      <c r="E140" s="158" t="s">
        <v>38</v>
      </c>
      <c r="F140" s="54" t="s">
        <v>178</v>
      </c>
      <c r="G140" s="57" t="s">
        <v>135</v>
      </c>
      <c r="H140" s="30" t="s">
        <v>18</v>
      </c>
      <c r="I140" s="175" t="s">
        <v>40</v>
      </c>
      <c r="J140" s="60">
        <v>300</v>
      </c>
      <c r="K140" s="60">
        <v>400</v>
      </c>
      <c r="L140" s="60">
        <f>K140+440</f>
        <v>840</v>
      </c>
      <c r="M140" s="60">
        <f>+L140+484</f>
        <v>1324</v>
      </c>
      <c r="N140" s="60">
        <f>+M140+532</f>
        <v>1856</v>
      </c>
      <c r="O140" s="60">
        <f>N140</f>
        <v>1856</v>
      </c>
      <c r="P140" s="60">
        <f>O140</f>
        <v>1856</v>
      </c>
    </row>
    <row r="141" spans="1:16" ht="12.4" customHeight="1" x14ac:dyDescent="0.25">
      <c r="A141" s="30">
        <v>3</v>
      </c>
      <c r="B141" s="30">
        <v>3</v>
      </c>
      <c r="C141" s="30">
        <v>1</v>
      </c>
      <c r="D141" s="277"/>
      <c r="E141" s="158" t="s">
        <v>38</v>
      </c>
      <c r="F141" s="54" t="s">
        <v>179</v>
      </c>
      <c r="G141" s="57" t="s">
        <v>21</v>
      </c>
      <c r="H141" s="30" t="s">
        <v>18</v>
      </c>
      <c r="I141" s="57" t="s">
        <v>19</v>
      </c>
      <c r="J141" s="60">
        <v>5</v>
      </c>
      <c r="K141" s="60">
        <f>J141</f>
        <v>5</v>
      </c>
      <c r="L141" s="60">
        <f>+K141+1</f>
        <v>6</v>
      </c>
      <c r="M141" s="60">
        <f>+L141+1</f>
        <v>7</v>
      </c>
      <c r="N141" s="60">
        <f>+M141+1</f>
        <v>8</v>
      </c>
      <c r="O141" s="60">
        <f>N141</f>
        <v>8</v>
      </c>
      <c r="P141" s="60">
        <f>O141</f>
        <v>8</v>
      </c>
    </row>
    <row r="142" spans="1:16" ht="12.4" customHeight="1" x14ac:dyDescent="0.25">
      <c r="A142" s="30">
        <v>3</v>
      </c>
      <c r="B142" s="30">
        <v>3</v>
      </c>
      <c r="C142" s="30">
        <v>1</v>
      </c>
      <c r="D142" s="277"/>
      <c r="E142" s="158" t="s">
        <v>38</v>
      </c>
      <c r="F142" s="293" t="s">
        <v>180</v>
      </c>
      <c r="G142" s="175" t="s">
        <v>21</v>
      </c>
      <c r="H142" s="295" t="s">
        <v>18</v>
      </c>
      <c r="I142" s="175" t="s">
        <v>40</v>
      </c>
      <c r="J142" s="180">
        <v>3046</v>
      </c>
      <c r="K142" s="180">
        <v>3351</v>
      </c>
      <c r="L142" s="180">
        <f>+K142+3686</f>
        <v>7037</v>
      </c>
      <c r="M142" s="180">
        <f>+L142+4054</f>
        <v>11091</v>
      </c>
      <c r="N142" s="180">
        <f>+M142+4460</f>
        <v>15551</v>
      </c>
      <c r="O142" s="180">
        <f>+N142+1635</f>
        <v>17186</v>
      </c>
      <c r="P142" s="180">
        <f>O142</f>
        <v>17186</v>
      </c>
    </row>
    <row r="143" spans="1:16" s="21" customFormat="1" x14ac:dyDescent="0.25">
      <c r="A143" s="100">
        <v>3</v>
      </c>
      <c r="B143" s="100">
        <v>3</v>
      </c>
      <c r="C143" s="100">
        <v>2</v>
      </c>
      <c r="D143" s="282" t="s">
        <v>78</v>
      </c>
      <c r="E143" s="101" t="s">
        <v>2</v>
      </c>
      <c r="F143" s="102" t="s">
        <v>181</v>
      </c>
      <c r="G143" s="103"/>
      <c r="H143" s="103"/>
      <c r="I143" s="103"/>
      <c r="J143" s="103"/>
      <c r="K143" s="104"/>
      <c r="L143" s="104"/>
      <c r="M143" s="104"/>
      <c r="N143" s="104"/>
      <c r="O143" s="104"/>
      <c r="P143" s="104"/>
    </row>
    <row r="144" spans="1:16" ht="12.4" customHeight="1" x14ac:dyDescent="0.25">
      <c r="A144" s="30">
        <v>3</v>
      </c>
      <c r="B144" s="30">
        <v>3</v>
      </c>
      <c r="C144" s="30">
        <v>2</v>
      </c>
      <c r="D144" s="277"/>
      <c r="E144" s="158" t="s">
        <v>38</v>
      </c>
      <c r="F144" s="293" t="s">
        <v>182</v>
      </c>
      <c r="G144" s="175" t="s">
        <v>21</v>
      </c>
      <c r="H144" s="295" t="s">
        <v>18</v>
      </c>
      <c r="I144" s="175" t="s">
        <v>40</v>
      </c>
      <c r="J144" s="180">
        <v>265</v>
      </c>
      <c r="K144" s="60">
        <v>265</v>
      </c>
      <c r="L144" s="60">
        <f>+K144+278</f>
        <v>543</v>
      </c>
      <c r="M144" s="60">
        <f>+L144+292</f>
        <v>835</v>
      </c>
      <c r="N144" s="60">
        <f>+M144+306</f>
        <v>1141</v>
      </c>
      <c r="O144" s="60">
        <f>+N144+26</f>
        <v>1167</v>
      </c>
      <c r="P144" s="60">
        <f>O144</f>
        <v>1167</v>
      </c>
    </row>
    <row r="145" spans="1:34" ht="12.75" customHeight="1" x14ac:dyDescent="0.25">
      <c r="A145" s="30">
        <v>3</v>
      </c>
      <c r="B145" s="30">
        <v>3</v>
      </c>
      <c r="C145" s="30">
        <v>2</v>
      </c>
      <c r="D145" s="277"/>
      <c r="E145" s="158" t="s">
        <v>38</v>
      </c>
      <c r="F145" s="293" t="s">
        <v>183</v>
      </c>
      <c r="G145" s="175" t="s">
        <v>21</v>
      </c>
      <c r="H145" s="295" t="s">
        <v>18</v>
      </c>
      <c r="I145" s="175" t="s">
        <v>40</v>
      </c>
      <c r="J145" s="180">
        <v>60</v>
      </c>
      <c r="K145" s="60">
        <v>60</v>
      </c>
      <c r="L145" s="60">
        <f>+K145+63</f>
        <v>123</v>
      </c>
      <c r="M145" s="60">
        <f>66+L145</f>
        <v>189</v>
      </c>
      <c r="N145" s="60">
        <f>69+M145</f>
        <v>258</v>
      </c>
      <c r="O145" s="60">
        <f>+N145+14</f>
        <v>272</v>
      </c>
      <c r="P145" s="60">
        <f>O145</f>
        <v>272</v>
      </c>
    </row>
    <row r="146" spans="1:34" s="172" customFormat="1" x14ac:dyDescent="0.25">
      <c r="A146" s="100">
        <v>3</v>
      </c>
      <c r="B146" s="100">
        <v>3</v>
      </c>
      <c r="C146" s="100">
        <v>3</v>
      </c>
      <c r="D146" s="282" t="s">
        <v>184</v>
      </c>
      <c r="E146" s="101" t="s">
        <v>2</v>
      </c>
      <c r="F146" s="102" t="s">
        <v>185</v>
      </c>
      <c r="G146" s="103"/>
      <c r="H146" s="103"/>
      <c r="I146" s="103"/>
      <c r="J146" s="103"/>
      <c r="K146" s="104"/>
      <c r="L146" s="104"/>
      <c r="M146" s="104"/>
      <c r="N146" s="104"/>
      <c r="O146" s="104"/>
      <c r="P146" s="104"/>
    </row>
    <row r="147" spans="1:34" ht="12.4" customHeight="1" x14ac:dyDescent="0.25">
      <c r="A147" s="30">
        <v>3</v>
      </c>
      <c r="B147" s="30">
        <v>3</v>
      </c>
      <c r="C147" s="30">
        <v>3</v>
      </c>
      <c r="D147" s="274"/>
      <c r="E147" s="50" t="s">
        <v>38</v>
      </c>
      <c r="F147" s="293" t="s">
        <v>186</v>
      </c>
      <c r="G147" s="175" t="s">
        <v>17</v>
      </c>
      <c r="H147" s="175" t="s">
        <v>22</v>
      </c>
      <c r="I147" s="175" t="s">
        <v>19</v>
      </c>
      <c r="J147" s="140">
        <v>0.7</v>
      </c>
      <c r="K147" s="140">
        <v>0.7</v>
      </c>
      <c r="L147" s="140">
        <v>0.74</v>
      </c>
      <c r="M147" s="140">
        <v>0.78</v>
      </c>
      <c r="N147" s="140">
        <v>0.82</v>
      </c>
      <c r="O147" s="140">
        <v>0.85</v>
      </c>
      <c r="P147" s="140">
        <v>0.85</v>
      </c>
    </row>
    <row r="148" spans="1:34" s="21" customFormat="1" ht="12.4" customHeight="1" x14ac:dyDescent="0.25">
      <c r="A148" s="93">
        <v>3</v>
      </c>
      <c r="B148" s="93">
        <v>4</v>
      </c>
      <c r="C148" s="93">
        <v>0</v>
      </c>
      <c r="D148" s="281"/>
      <c r="E148" s="94" t="s">
        <v>1</v>
      </c>
      <c r="F148" s="155" t="s">
        <v>187</v>
      </c>
      <c r="G148" s="96"/>
      <c r="H148" s="96"/>
      <c r="I148" s="96"/>
      <c r="J148" s="96"/>
      <c r="K148" s="97"/>
      <c r="L148" s="97"/>
      <c r="M148" s="97"/>
      <c r="N148" s="97"/>
      <c r="O148" s="97"/>
      <c r="P148" s="97"/>
    </row>
    <row r="149" spans="1:34" s="21" customFormat="1" ht="12.4" customHeight="1" x14ac:dyDescent="0.25">
      <c r="A149" s="30">
        <v>3</v>
      </c>
      <c r="B149" s="30">
        <v>4</v>
      </c>
      <c r="C149" s="30">
        <v>0</v>
      </c>
      <c r="D149" s="274"/>
      <c r="E149" s="50" t="s">
        <v>28</v>
      </c>
      <c r="F149" s="54" t="s">
        <v>188</v>
      </c>
      <c r="G149" s="57" t="s">
        <v>21</v>
      </c>
      <c r="H149" s="57" t="s">
        <v>22</v>
      </c>
      <c r="I149" s="57" t="s">
        <v>30</v>
      </c>
      <c r="J149" s="140">
        <v>0.75</v>
      </c>
      <c r="K149" s="140">
        <v>0.75</v>
      </c>
      <c r="L149" s="140">
        <v>0.8</v>
      </c>
      <c r="M149" s="140">
        <v>0.85</v>
      </c>
      <c r="N149" s="140">
        <v>0.85</v>
      </c>
      <c r="O149" s="140">
        <v>0</v>
      </c>
      <c r="P149" s="140">
        <v>0.85</v>
      </c>
    </row>
    <row r="150" spans="1:34" s="21" customFormat="1" ht="12.4" customHeight="1" x14ac:dyDescent="0.25">
      <c r="A150" s="30">
        <v>3</v>
      </c>
      <c r="B150" s="30">
        <v>4</v>
      </c>
      <c r="C150" s="30">
        <v>0</v>
      </c>
      <c r="D150" s="274"/>
      <c r="E150" s="50" t="s">
        <v>28</v>
      </c>
      <c r="F150" s="54" t="s">
        <v>189</v>
      </c>
      <c r="G150" s="57" t="s">
        <v>21</v>
      </c>
      <c r="H150" s="57" t="s">
        <v>22</v>
      </c>
      <c r="I150" s="57" t="s">
        <v>23</v>
      </c>
      <c r="J150" s="140">
        <v>0.8</v>
      </c>
      <c r="K150" s="140">
        <v>0.8</v>
      </c>
      <c r="L150" s="140">
        <v>0.8</v>
      </c>
      <c r="M150" s="140">
        <v>0.8</v>
      </c>
      <c r="N150" s="140">
        <v>0.8</v>
      </c>
      <c r="O150" s="140">
        <v>0</v>
      </c>
      <c r="P150" s="140">
        <v>0.8</v>
      </c>
    </row>
    <row r="151" spans="1:34" s="21" customFormat="1" ht="12.4" customHeight="1" x14ac:dyDescent="0.25">
      <c r="A151" s="30">
        <v>3</v>
      </c>
      <c r="B151" s="30">
        <v>4</v>
      </c>
      <c r="C151" s="30">
        <v>0</v>
      </c>
      <c r="D151" s="274"/>
      <c r="E151" s="50" t="s">
        <v>28</v>
      </c>
      <c r="F151" s="299" t="s">
        <v>652</v>
      </c>
      <c r="G151" s="57" t="s">
        <v>21</v>
      </c>
      <c r="H151" s="57" t="s">
        <v>22</v>
      </c>
      <c r="I151" s="57" t="s">
        <v>23</v>
      </c>
      <c r="J151" s="140">
        <v>0.8</v>
      </c>
      <c r="K151" s="140">
        <v>0.8</v>
      </c>
      <c r="L151" s="140">
        <v>0.8</v>
      </c>
      <c r="M151" s="140">
        <v>0.8</v>
      </c>
      <c r="N151" s="140">
        <v>0.8</v>
      </c>
      <c r="O151" s="140">
        <v>0</v>
      </c>
      <c r="P151" s="140">
        <v>0.8</v>
      </c>
    </row>
    <row r="152" spans="1:34" s="172" customFormat="1" x14ac:dyDescent="0.25">
      <c r="A152" s="100">
        <v>3</v>
      </c>
      <c r="B152" s="100">
        <v>4</v>
      </c>
      <c r="C152" s="100">
        <v>1</v>
      </c>
      <c r="D152" s="282" t="s">
        <v>144</v>
      </c>
      <c r="E152" s="101" t="s">
        <v>2</v>
      </c>
      <c r="F152" s="148" t="s">
        <v>191</v>
      </c>
      <c r="G152" s="103"/>
      <c r="H152" s="103"/>
      <c r="I152" s="103"/>
      <c r="J152" s="103"/>
      <c r="K152" s="104"/>
      <c r="L152" s="104"/>
      <c r="M152" s="104"/>
      <c r="N152" s="104"/>
      <c r="O152" s="104"/>
      <c r="P152" s="104"/>
    </row>
    <row r="153" spans="1:34" s="21" customFormat="1" ht="12.4" customHeight="1" x14ac:dyDescent="0.25">
      <c r="A153" s="30">
        <v>3</v>
      </c>
      <c r="B153" s="30">
        <v>4</v>
      </c>
      <c r="C153" s="30">
        <v>1</v>
      </c>
      <c r="D153" s="274"/>
      <c r="E153" s="50" t="s">
        <v>38</v>
      </c>
      <c r="F153" s="54" t="s">
        <v>192</v>
      </c>
      <c r="G153" s="57" t="s">
        <v>21</v>
      </c>
      <c r="H153" s="57" t="s">
        <v>22</v>
      </c>
      <c r="I153" s="57" t="s">
        <v>23</v>
      </c>
      <c r="J153" s="140">
        <v>0.8</v>
      </c>
      <c r="K153" s="140">
        <v>0.8</v>
      </c>
      <c r="L153" s="140">
        <v>0.8</v>
      </c>
      <c r="M153" s="140">
        <v>0.8</v>
      </c>
      <c r="N153" s="140">
        <v>0.8</v>
      </c>
      <c r="O153" s="140">
        <v>0</v>
      </c>
      <c r="P153" s="140">
        <v>0.8</v>
      </c>
    </row>
    <row r="154" spans="1:34" s="172" customFormat="1" x14ac:dyDescent="0.25">
      <c r="A154" s="100">
        <v>3</v>
      </c>
      <c r="B154" s="100">
        <v>4</v>
      </c>
      <c r="C154" s="100">
        <v>2</v>
      </c>
      <c r="D154" s="282" t="s">
        <v>193</v>
      </c>
      <c r="E154" s="101" t="s">
        <v>2</v>
      </c>
      <c r="F154" s="148" t="s">
        <v>194</v>
      </c>
      <c r="G154" s="103"/>
      <c r="H154" s="103"/>
      <c r="I154" s="103"/>
      <c r="J154" s="103"/>
      <c r="K154" s="104"/>
      <c r="L154" s="104"/>
      <c r="M154" s="104"/>
      <c r="N154" s="104"/>
      <c r="O154" s="104"/>
      <c r="P154" s="104"/>
    </row>
    <row r="155" spans="1:34" ht="12.4" customHeight="1" x14ac:dyDescent="0.25">
      <c r="A155" s="30">
        <v>3</v>
      </c>
      <c r="B155" s="30">
        <v>4</v>
      </c>
      <c r="C155" s="30">
        <v>2</v>
      </c>
      <c r="D155" s="274"/>
      <c r="E155" s="50" t="s">
        <v>38</v>
      </c>
      <c r="F155" s="54" t="s">
        <v>195</v>
      </c>
      <c r="G155" s="57" t="s">
        <v>17</v>
      </c>
      <c r="H155" s="57" t="s">
        <v>22</v>
      </c>
      <c r="I155" s="57" t="s">
        <v>30</v>
      </c>
      <c r="J155" s="140">
        <v>0</v>
      </c>
      <c r="K155" s="140">
        <v>0.7</v>
      </c>
      <c r="L155" s="140">
        <v>0.8</v>
      </c>
      <c r="M155" s="140">
        <v>0.9</v>
      </c>
      <c r="N155" s="140">
        <v>0.9</v>
      </c>
      <c r="O155" s="140">
        <v>0</v>
      </c>
      <c r="P155" s="140">
        <v>0.9</v>
      </c>
    </row>
    <row r="156" spans="1:34" ht="12.4" customHeight="1" x14ac:dyDescent="0.25">
      <c r="A156" s="107">
        <v>4</v>
      </c>
      <c r="B156" s="107">
        <v>0</v>
      </c>
      <c r="C156" s="107">
        <v>0</v>
      </c>
      <c r="D156" s="283"/>
      <c r="E156" s="108" t="s">
        <v>0</v>
      </c>
      <c r="F156" s="109" t="s">
        <v>196</v>
      </c>
      <c r="G156" s="107"/>
      <c r="H156" s="107"/>
      <c r="I156" s="107"/>
      <c r="J156" s="107"/>
      <c r="K156" s="110"/>
      <c r="L156" s="110"/>
      <c r="M156" s="110"/>
      <c r="N156" s="110"/>
      <c r="O156" s="110"/>
      <c r="P156" s="110"/>
    </row>
    <row r="157" spans="1:34" ht="12.4" customHeight="1" x14ac:dyDescent="0.25">
      <c r="A157" s="30">
        <v>4</v>
      </c>
      <c r="B157" s="30">
        <v>0</v>
      </c>
      <c r="C157" s="30">
        <v>0</v>
      </c>
      <c r="D157" s="274"/>
      <c r="E157" s="50" t="s">
        <v>15</v>
      </c>
      <c r="F157" s="54" t="s">
        <v>197</v>
      </c>
      <c r="G157" s="57" t="s">
        <v>21</v>
      </c>
      <c r="H157" s="57" t="s">
        <v>22</v>
      </c>
      <c r="I157" s="57" t="s">
        <v>23</v>
      </c>
      <c r="J157" s="140">
        <v>0.88</v>
      </c>
      <c r="K157" s="140">
        <v>0.88</v>
      </c>
      <c r="L157" s="140">
        <v>0.88</v>
      </c>
      <c r="M157" s="140">
        <v>0.88</v>
      </c>
      <c r="N157" s="140">
        <v>0.88</v>
      </c>
      <c r="O157" s="140">
        <v>0</v>
      </c>
      <c r="P157" s="140">
        <v>0.88</v>
      </c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</row>
    <row r="158" spans="1:34" ht="12.4" customHeight="1" x14ac:dyDescent="0.25">
      <c r="A158" s="30">
        <v>4</v>
      </c>
      <c r="B158" s="30">
        <v>0</v>
      </c>
      <c r="C158" s="30">
        <v>0</v>
      </c>
      <c r="D158" s="274"/>
      <c r="E158" s="50" t="s">
        <v>15</v>
      </c>
      <c r="F158" s="54" t="s">
        <v>198</v>
      </c>
      <c r="G158" s="57" t="s">
        <v>135</v>
      </c>
      <c r="H158" s="57" t="s">
        <v>22</v>
      </c>
      <c r="I158" s="57" t="s">
        <v>23</v>
      </c>
      <c r="J158" s="140">
        <v>0.66</v>
      </c>
      <c r="K158" s="140">
        <v>0.66</v>
      </c>
      <c r="L158" s="140">
        <v>0.66</v>
      </c>
      <c r="M158" s="140">
        <v>0.66</v>
      </c>
      <c r="N158" s="140">
        <v>0.66</v>
      </c>
      <c r="O158" s="140">
        <v>0</v>
      </c>
      <c r="P158" s="140">
        <v>0.66</v>
      </c>
    </row>
    <row r="159" spans="1:34" ht="12.4" customHeight="1" x14ac:dyDescent="0.25">
      <c r="A159" s="30">
        <v>4</v>
      </c>
      <c r="B159" s="30">
        <v>0</v>
      </c>
      <c r="C159" s="30">
        <v>0</v>
      </c>
      <c r="D159" s="274"/>
      <c r="E159" s="50" t="s">
        <v>15</v>
      </c>
      <c r="F159" s="54" t="s">
        <v>199</v>
      </c>
      <c r="G159" s="57" t="s">
        <v>135</v>
      </c>
      <c r="H159" s="57" t="s">
        <v>22</v>
      </c>
      <c r="I159" s="57" t="s">
        <v>23</v>
      </c>
      <c r="J159" s="140">
        <v>0.7</v>
      </c>
      <c r="K159" s="140">
        <v>0.7</v>
      </c>
      <c r="L159" s="140">
        <v>0.7</v>
      </c>
      <c r="M159" s="140">
        <v>0.7</v>
      </c>
      <c r="N159" s="140">
        <v>0.7</v>
      </c>
      <c r="O159" s="140">
        <v>0</v>
      </c>
      <c r="P159" s="140">
        <v>0.7</v>
      </c>
    </row>
    <row r="160" spans="1:34" ht="12.4" customHeight="1" x14ac:dyDescent="0.25">
      <c r="A160" s="30">
        <v>4</v>
      </c>
      <c r="B160" s="30">
        <v>0</v>
      </c>
      <c r="C160" s="30">
        <v>0</v>
      </c>
      <c r="D160" s="274"/>
      <c r="E160" s="50" t="s">
        <v>15</v>
      </c>
      <c r="F160" s="54" t="s">
        <v>200</v>
      </c>
      <c r="G160" s="57" t="s">
        <v>21</v>
      </c>
      <c r="H160" s="57" t="s">
        <v>22</v>
      </c>
      <c r="I160" s="57" t="s">
        <v>23</v>
      </c>
      <c r="J160" s="140">
        <v>0.65</v>
      </c>
      <c r="K160" s="140">
        <v>0.65</v>
      </c>
      <c r="L160" s="140">
        <v>0.65</v>
      </c>
      <c r="M160" s="140">
        <v>0.65</v>
      </c>
      <c r="N160" s="140">
        <v>0.65</v>
      </c>
      <c r="O160" s="140">
        <v>0</v>
      </c>
      <c r="P160" s="140">
        <v>0.65</v>
      </c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</row>
    <row r="161" spans="1:34" ht="12.4" customHeight="1" x14ac:dyDescent="0.25">
      <c r="A161" s="30">
        <v>4</v>
      </c>
      <c r="B161" s="30">
        <v>0</v>
      </c>
      <c r="C161" s="30">
        <v>0</v>
      </c>
      <c r="D161" s="274"/>
      <c r="E161" s="50" t="s">
        <v>15</v>
      </c>
      <c r="F161" s="54" t="s">
        <v>201</v>
      </c>
      <c r="G161" s="57" t="s">
        <v>21</v>
      </c>
      <c r="H161" s="57" t="s">
        <v>22</v>
      </c>
      <c r="I161" s="57" t="s">
        <v>23</v>
      </c>
      <c r="J161" s="140">
        <v>0.7</v>
      </c>
      <c r="K161" s="140">
        <v>0.7</v>
      </c>
      <c r="L161" s="140">
        <v>0.7</v>
      </c>
      <c r="M161" s="140">
        <v>0.7</v>
      </c>
      <c r="N161" s="140">
        <v>0.7</v>
      </c>
      <c r="O161" s="140">
        <v>0</v>
      </c>
      <c r="P161" s="140">
        <v>0.7</v>
      </c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</row>
    <row r="162" spans="1:34" ht="12.4" customHeight="1" x14ac:dyDescent="0.25">
      <c r="A162" s="30">
        <v>4</v>
      </c>
      <c r="B162" s="30">
        <v>0</v>
      </c>
      <c r="C162" s="30">
        <v>0</v>
      </c>
      <c r="D162" s="274"/>
      <c r="E162" s="50" t="s">
        <v>15</v>
      </c>
      <c r="F162" s="54" t="s">
        <v>202</v>
      </c>
      <c r="G162" s="57" t="s">
        <v>21</v>
      </c>
      <c r="H162" s="57" t="s">
        <v>22</v>
      </c>
      <c r="I162" s="57" t="s">
        <v>19</v>
      </c>
      <c r="J162" s="140">
        <v>0.8</v>
      </c>
      <c r="K162" s="140">
        <v>0.8</v>
      </c>
      <c r="L162" s="140">
        <v>0.83</v>
      </c>
      <c r="M162" s="140">
        <v>0.86</v>
      </c>
      <c r="N162" s="140">
        <v>0.9</v>
      </c>
      <c r="O162" s="140">
        <v>0.9</v>
      </c>
      <c r="P162" s="140">
        <v>0.9</v>
      </c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</row>
    <row r="163" spans="1:34" ht="12.4" customHeight="1" x14ac:dyDescent="0.25">
      <c r="A163" s="113">
        <v>4</v>
      </c>
      <c r="B163" s="113">
        <v>1</v>
      </c>
      <c r="C163" s="113">
        <v>0</v>
      </c>
      <c r="D163" s="284"/>
      <c r="E163" s="114" t="s">
        <v>1</v>
      </c>
      <c r="F163" s="115" t="s">
        <v>203</v>
      </c>
      <c r="G163" s="113"/>
      <c r="H163" s="113"/>
      <c r="I163" s="113"/>
      <c r="J163" s="113"/>
      <c r="K163" s="116"/>
      <c r="L163" s="116"/>
      <c r="M163" s="116"/>
      <c r="N163" s="116"/>
      <c r="O163" s="116"/>
      <c r="P163" s="116"/>
    </row>
    <row r="164" spans="1:34" ht="12.4" customHeight="1" x14ac:dyDescent="0.25">
      <c r="A164" s="30">
        <v>4</v>
      </c>
      <c r="B164" s="30">
        <v>1</v>
      </c>
      <c r="C164" s="30">
        <v>0</v>
      </c>
      <c r="D164" s="274"/>
      <c r="E164" s="50" t="s">
        <v>28</v>
      </c>
      <c r="F164" s="54" t="s">
        <v>204</v>
      </c>
      <c r="G164" s="57" t="s">
        <v>135</v>
      </c>
      <c r="H164" s="57" t="s">
        <v>18</v>
      </c>
      <c r="I164" s="57" t="s">
        <v>40</v>
      </c>
      <c r="J164" s="60">
        <v>5050</v>
      </c>
      <c r="K164" s="60">
        <v>5050</v>
      </c>
      <c r="L164" s="60">
        <f>K164+5000</f>
        <v>10050</v>
      </c>
      <c r="M164" s="60">
        <f>L164+5000</f>
        <v>15050</v>
      </c>
      <c r="N164" s="60">
        <f>M164+5000</f>
        <v>20050</v>
      </c>
      <c r="O164" s="60">
        <f>500+N164</f>
        <v>20550</v>
      </c>
      <c r="P164" s="60">
        <f>O164</f>
        <v>20550</v>
      </c>
    </row>
    <row r="165" spans="1:34" ht="12.4" customHeight="1" x14ac:dyDescent="0.25">
      <c r="A165" s="30">
        <v>4</v>
      </c>
      <c r="B165" s="30">
        <v>1</v>
      </c>
      <c r="C165" s="30">
        <v>0</v>
      </c>
      <c r="D165" s="274"/>
      <c r="E165" s="50" t="s">
        <v>28</v>
      </c>
      <c r="F165" s="54" t="s">
        <v>205</v>
      </c>
      <c r="G165" s="57" t="s">
        <v>135</v>
      </c>
      <c r="H165" s="57" t="s">
        <v>18</v>
      </c>
      <c r="I165" s="57" t="s">
        <v>40</v>
      </c>
      <c r="J165" s="60">
        <v>1200</v>
      </c>
      <c r="K165" s="60">
        <v>1200</v>
      </c>
      <c r="L165" s="60">
        <f>900+K165</f>
        <v>2100</v>
      </c>
      <c r="M165" s="60">
        <f>1000+L165</f>
        <v>3100</v>
      </c>
      <c r="N165" s="60">
        <f>1500+M165</f>
        <v>4600</v>
      </c>
      <c r="O165" s="60">
        <f>500+N165</f>
        <v>5100</v>
      </c>
      <c r="P165" s="60">
        <f>O165</f>
        <v>5100</v>
      </c>
    </row>
    <row r="166" spans="1:34" ht="12.4" customHeight="1" x14ac:dyDescent="0.25">
      <c r="A166" s="30">
        <v>4</v>
      </c>
      <c r="B166" s="30">
        <v>1</v>
      </c>
      <c r="C166" s="30">
        <v>0</v>
      </c>
      <c r="D166" s="274"/>
      <c r="E166" s="50" t="s">
        <v>28</v>
      </c>
      <c r="F166" s="54" t="s">
        <v>206</v>
      </c>
      <c r="G166" s="57" t="s">
        <v>21</v>
      </c>
      <c r="H166" s="57" t="s">
        <v>18</v>
      </c>
      <c r="I166" s="57" t="s">
        <v>40</v>
      </c>
      <c r="J166" s="60">
        <v>700</v>
      </c>
      <c r="K166" s="60">
        <v>700</v>
      </c>
      <c r="L166" s="60">
        <f>K166+700</f>
        <v>1400</v>
      </c>
      <c r="M166" s="60">
        <f>L166+700</f>
        <v>2100</v>
      </c>
      <c r="N166" s="60">
        <f>M166+700</f>
        <v>2800</v>
      </c>
      <c r="O166" s="60">
        <f>N166+700</f>
        <v>3500</v>
      </c>
      <c r="P166" s="60">
        <v>3500</v>
      </c>
    </row>
    <row r="167" spans="1:34" ht="12.4" customHeight="1" x14ac:dyDescent="0.25">
      <c r="A167" s="30">
        <v>4</v>
      </c>
      <c r="B167" s="30">
        <v>1</v>
      </c>
      <c r="C167" s="30">
        <v>0</v>
      </c>
      <c r="D167" s="274"/>
      <c r="E167" s="50" t="s">
        <v>28</v>
      </c>
      <c r="F167" s="54" t="s">
        <v>207</v>
      </c>
      <c r="G167" s="57" t="s">
        <v>21</v>
      </c>
      <c r="H167" s="57" t="s">
        <v>18</v>
      </c>
      <c r="I167" s="57" t="s">
        <v>40</v>
      </c>
      <c r="J167" s="60">
        <v>3300</v>
      </c>
      <c r="K167" s="60">
        <v>3300</v>
      </c>
      <c r="L167" s="60">
        <f>K167+3000</f>
        <v>6300</v>
      </c>
      <c r="M167" s="60">
        <f>L167+3000</f>
        <v>9300</v>
      </c>
      <c r="N167" s="60">
        <f>M167+3000</f>
        <v>12300</v>
      </c>
      <c r="O167" s="60">
        <f>N167+700</f>
        <v>13000</v>
      </c>
      <c r="P167" s="60">
        <v>13000</v>
      </c>
    </row>
    <row r="168" spans="1:34" s="64" customFormat="1" ht="12.4" customHeight="1" x14ac:dyDescent="0.25">
      <c r="A168" s="295">
        <v>4</v>
      </c>
      <c r="B168" s="295">
        <v>1</v>
      </c>
      <c r="C168" s="295">
        <v>0</v>
      </c>
      <c r="D168" s="277"/>
      <c r="E168" s="158" t="s">
        <v>28</v>
      </c>
      <c r="F168" s="293" t="s">
        <v>208</v>
      </c>
      <c r="G168" s="175" t="s">
        <v>17</v>
      </c>
      <c r="H168" s="175" t="s">
        <v>22</v>
      </c>
      <c r="I168" s="175" t="s">
        <v>19</v>
      </c>
      <c r="J168" s="298">
        <v>0.9</v>
      </c>
      <c r="K168" s="298">
        <v>0.9</v>
      </c>
      <c r="L168" s="298">
        <v>0.9</v>
      </c>
      <c r="M168" s="298">
        <v>0.9</v>
      </c>
      <c r="N168" s="298">
        <v>0.9</v>
      </c>
      <c r="O168" s="298">
        <v>0.9</v>
      </c>
      <c r="P168" s="298">
        <v>0.9</v>
      </c>
    </row>
    <row r="169" spans="1:34" ht="12.4" customHeight="1" x14ac:dyDescent="0.25">
      <c r="A169" s="30">
        <v>4</v>
      </c>
      <c r="B169" s="30">
        <v>1</v>
      </c>
      <c r="C169" s="30">
        <v>0</v>
      </c>
      <c r="D169" s="274"/>
      <c r="E169" s="50" t="s">
        <v>28</v>
      </c>
      <c r="F169" s="54" t="s">
        <v>209</v>
      </c>
      <c r="G169" s="57" t="s">
        <v>21</v>
      </c>
      <c r="H169" s="57" t="s">
        <v>18</v>
      </c>
      <c r="I169" s="57" t="s">
        <v>23</v>
      </c>
      <c r="J169" s="60">
        <v>4.5</v>
      </c>
      <c r="K169" s="60">
        <v>4.5</v>
      </c>
      <c r="L169" s="60">
        <v>4.5</v>
      </c>
      <c r="M169" s="60">
        <v>4.5</v>
      </c>
      <c r="N169" s="60">
        <v>4.5</v>
      </c>
      <c r="O169" s="60">
        <v>0</v>
      </c>
      <c r="P169" s="60">
        <v>4.5</v>
      </c>
    </row>
    <row r="170" spans="1:34" ht="12.4" customHeight="1" x14ac:dyDescent="0.25">
      <c r="A170" s="30">
        <v>4</v>
      </c>
      <c r="B170" s="30">
        <v>1</v>
      </c>
      <c r="C170" s="30">
        <v>0</v>
      </c>
      <c r="D170" s="274"/>
      <c r="E170" s="50" t="s">
        <v>28</v>
      </c>
      <c r="F170" s="54" t="s">
        <v>210</v>
      </c>
      <c r="G170" s="57" t="s">
        <v>21</v>
      </c>
      <c r="H170" s="57" t="s">
        <v>18</v>
      </c>
      <c r="I170" s="57" t="s">
        <v>40</v>
      </c>
      <c r="J170" s="60">
        <v>0</v>
      </c>
      <c r="K170" s="60">
        <v>1</v>
      </c>
      <c r="L170" s="60">
        <v>1</v>
      </c>
      <c r="M170" s="60">
        <v>1</v>
      </c>
      <c r="N170" s="60">
        <v>1</v>
      </c>
      <c r="O170" s="60">
        <v>1</v>
      </c>
      <c r="P170" s="60">
        <v>1</v>
      </c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</row>
    <row r="171" spans="1:34" ht="12.4" customHeight="1" x14ac:dyDescent="0.25">
      <c r="A171" s="30">
        <v>4</v>
      </c>
      <c r="B171" s="30">
        <v>1</v>
      </c>
      <c r="C171" s="30">
        <v>0</v>
      </c>
      <c r="D171" s="274"/>
      <c r="E171" s="50" t="s">
        <v>28</v>
      </c>
      <c r="F171" s="54" t="s">
        <v>211</v>
      </c>
      <c r="G171" s="57" t="s">
        <v>21</v>
      </c>
      <c r="H171" s="57" t="s">
        <v>18</v>
      </c>
      <c r="I171" s="57" t="s">
        <v>30</v>
      </c>
      <c r="J171" s="60">
        <v>4</v>
      </c>
      <c r="K171" s="60">
        <v>4</v>
      </c>
      <c r="L171" s="60">
        <v>4.2</v>
      </c>
      <c r="M171" s="60">
        <v>4.3</v>
      </c>
      <c r="N171" s="60">
        <v>4.4000000000000004</v>
      </c>
      <c r="O171" s="60">
        <v>0</v>
      </c>
      <c r="P171" s="60">
        <v>4.5</v>
      </c>
    </row>
    <row r="172" spans="1:34" ht="12.4" customHeight="1" x14ac:dyDescent="0.25">
      <c r="A172" s="30">
        <v>4</v>
      </c>
      <c r="B172" s="30">
        <v>1</v>
      </c>
      <c r="C172" s="30">
        <v>0</v>
      </c>
      <c r="D172" s="274"/>
      <c r="E172" s="50" t="s">
        <v>28</v>
      </c>
      <c r="F172" s="54" t="s">
        <v>212</v>
      </c>
      <c r="G172" s="57" t="s">
        <v>21</v>
      </c>
      <c r="H172" s="57" t="s">
        <v>18</v>
      </c>
      <c r="I172" s="57" t="s">
        <v>23</v>
      </c>
      <c r="J172" s="60">
        <v>4.5</v>
      </c>
      <c r="K172" s="60">
        <v>4.5</v>
      </c>
      <c r="L172" s="60">
        <v>4.5</v>
      </c>
      <c r="M172" s="60">
        <v>4.5</v>
      </c>
      <c r="N172" s="60">
        <v>4.5</v>
      </c>
      <c r="O172" s="60">
        <v>0</v>
      </c>
      <c r="P172" s="60">
        <v>4.5</v>
      </c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</row>
    <row r="173" spans="1:34" ht="12.4" customHeight="1" x14ac:dyDescent="0.25">
      <c r="A173" s="119">
        <v>4</v>
      </c>
      <c r="B173" s="119">
        <v>1</v>
      </c>
      <c r="C173" s="119">
        <v>1</v>
      </c>
      <c r="D173" s="285" t="s">
        <v>55</v>
      </c>
      <c r="E173" s="120" t="s">
        <v>2</v>
      </c>
      <c r="F173" s="121" t="s">
        <v>213</v>
      </c>
      <c r="G173" s="119"/>
      <c r="H173" s="119"/>
      <c r="I173" s="119"/>
      <c r="J173" s="119"/>
      <c r="K173" s="122"/>
      <c r="L173" s="122"/>
      <c r="M173" s="122"/>
      <c r="N173" s="122"/>
      <c r="O173" s="122"/>
      <c r="P173" s="122"/>
      <c r="Q173" s="173"/>
      <c r="R173" s="173"/>
      <c r="S173" s="173"/>
      <c r="T173" s="173"/>
      <c r="U173" s="173"/>
      <c r="V173" s="173"/>
      <c r="W173" s="173"/>
      <c r="X173" s="173"/>
      <c r="Y173" s="173"/>
      <c r="Z173" s="173"/>
      <c r="AA173" s="173"/>
      <c r="AB173" s="173"/>
      <c r="AC173" s="173"/>
      <c r="AD173" s="173"/>
      <c r="AE173" s="173"/>
      <c r="AF173" s="173"/>
      <c r="AG173" s="173"/>
      <c r="AH173" s="173"/>
    </row>
    <row r="174" spans="1:34" ht="12.4" customHeight="1" x14ac:dyDescent="0.25">
      <c r="A174" s="30">
        <v>4</v>
      </c>
      <c r="B174" s="30">
        <v>1</v>
      </c>
      <c r="C174" s="30">
        <v>1</v>
      </c>
      <c r="D174" s="274"/>
      <c r="E174" s="50" t="s">
        <v>38</v>
      </c>
      <c r="F174" s="54" t="s">
        <v>214</v>
      </c>
      <c r="G174" s="57" t="s">
        <v>61</v>
      </c>
      <c r="H174" s="57" t="s">
        <v>18</v>
      </c>
      <c r="I174" s="57" t="s">
        <v>40</v>
      </c>
      <c r="J174" s="60">
        <v>1571</v>
      </c>
      <c r="K174" s="60">
        <v>1571</v>
      </c>
      <c r="L174" s="60">
        <f>1674+K174</f>
        <v>3245</v>
      </c>
      <c r="M174" s="60">
        <f>1842+L174</f>
        <v>5087</v>
      </c>
      <c r="N174" s="60">
        <f>+M174+1985</f>
        <v>7072</v>
      </c>
      <c r="O174" s="60">
        <f>+N174+400</f>
        <v>7472</v>
      </c>
      <c r="P174" s="60">
        <f>O174</f>
        <v>7472</v>
      </c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</row>
    <row r="175" spans="1:34" ht="12.4" customHeight="1" x14ac:dyDescent="0.25">
      <c r="A175" s="30">
        <v>4</v>
      </c>
      <c r="B175" s="30">
        <v>1</v>
      </c>
      <c r="C175" s="30">
        <v>1</v>
      </c>
      <c r="D175" s="274"/>
      <c r="E175" s="50" t="s">
        <v>38</v>
      </c>
      <c r="F175" s="54" t="s">
        <v>215</v>
      </c>
      <c r="G175" s="57" t="s">
        <v>61</v>
      </c>
      <c r="H175" s="57" t="s">
        <v>18</v>
      </c>
      <c r="I175" s="57" t="s">
        <v>40</v>
      </c>
      <c r="J175" s="60">
        <v>8000</v>
      </c>
      <c r="K175" s="60">
        <v>9122</v>
      </c>
      <c r="L175" s="60">
        <f>+K175+10022</f>
        <v>19144</v>
      </c>
      <c r="M175" s="60">
        <f>+L175+10500</f>
        <v>29644</v>
      </c>
      <c r="N175" s="60">
        <f>+M175+11047</f>
        <v>40691</v>
      </c>
      <c r="O175" s="60">
        <f>+N175+2700</f>
        <v>43391</v>
      </c>
      <c r="P175" s="60">
        <f>O175</f>
        <v>43391</v>
      </c>
    </row>
    <row r="176" spans="1:34" s="173" customFormat="1" x14ac:dyDescent="0.25">
      <c r="A176" s="119">
        <v>4</v>
      </c>
      <c r="B176" s="119">
        <v>1</v>
      </c>
      <c r="C176" s="119">
        <v>2</v>
      </c>
      <c r="D176" s="285" t="s">
        <v>216</v>
      </c>
      <c r="E176" s="120" t="s">
        <v>2</v>
      </c>
      <c r="F176" s="121" t="s">
        <v>217</v>
      </c>
      <c r="G176" s="119"/>
      <c r="H176" s="119"/>
      <c r="I176" s="119"/>
      <c r="J176" s="119"/>
      <c r="K176" s="122"/>
      <c r="L176" s="122"/>
      <c r="M176" s="122"/>
      <c r="N176" s="122"/>
      <c r="O176" s="122"/>
      <c r="P176" s="122"/>
    </row>
    <row r="177" spans="1:34" s="21" customFormat="1" ht="12.4" customHeight="1" x14ac:dyDescent="0.25">
      <c r="A177" s="30">
        <v>4</v>
      </c>
      <c r="B177" s="30">
        <v>1</v>
      </c>
      <c r="C177" s="30">
        <v>2</v>
      </c>
      <c r="D177" s="274"/>
      <c r="E177" s="50" t="s">
        <v>38</v>
      </c>
      <c r="F177" s="54" t="s">
        <v>218</v>
      </c>
      <c r="G177" s="57" t="s">
        <v>61</v>
      </c>
      <c r="H177" s="57" t="s">
        <v>18</v>
      </c>
      <c r="I177" s="57" t="s">
        <v>40</v>
      </c>
      <c r="J177" s="60" t="e">
        <f>-F205</f>
        <v>#VALUE!</v>
      </c>
      <c r="K177" s="60">
        <v>0</v>
      </c>
      <c r="L177" s="60">
        <v>1</v>
      </c>
      <c r="M177" s="60">
        <v>1</v>
      </c>
      <c r="N177" s="60">
        <v>1</v>
      </c>
      <c r="O177" s="60">
        <v>1</v>
      </c>
      <c r="P177" s="60">
        <v>1</v>
      </c>
    </row>
    <row r="178" spans="1:34" s="21" customFormat="1" ht="12.4" customHeight="1" x14ac:dyDescent="0.25">
      <c r="A178" s="30">
        <v>4</v>
      </c>
      <c r="B178" s="30">
        <v>1</v>
      </c>
      <c r="C178" s="30">
        <v>2</v>
      </c>
      <c r="D178" s="274"/>
      <c r="E178" s="50" t="s">
        <v>38</v>
      </c>
      <c r="F178" s="54" t="s">
        <v>219</v>
      </c>
      <c r="G178" s="57" t="s">
        <v>135</v>
      </c>
      <c r="H178" s="57" t="s">
        <v>18</v>
      </c>
      <c r="I178" s="57" t="s">
        <v>40</v>
      </c>
      <c r="J178" s="60">
        <v>15200</v>
      </c>
      <c r="K178" s="60">
        <v>15200</v>
      </c>
      <c r="L178" s="60">
        <f>K178+15000</f>
        <v>30200</v>
      </c>
      <c r="M178" s="60">
        <f>L178+15000</f>
        <v>45200</v>
      </c>
      <c r="N178" s="60">
        <f>M178+15000</f>
        <v>60200</v>
      </c>
      <c r="O178" s="60">
        <f>2000+N178</f>
        <v>62200</v>
      </c>
      <c r="P178" s="60">
        <f>O178</f>
        <v>62200</v>
      </c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</row>
    <row r="179" spans="1:34" s="21" customFormat="1" ht="12.4" customHeight="1" x14ac:dyDescent="0.25">
      <c r="A179" s="30">
        <v>4</v>
      </c>
      <c r="B179" s="30">
        <v>1</v>
      </c>
      <c r="C179" s="30">
        <v>2</v>
      </c>
      <c r="D179" s="274"/>
      <c r="E179" s="50" t="s">
        <v>38</v>
      </c>
      <c r="F179" s="54" t="s">
        <v>220</v>
      </c>
      <c r="G179" s="57" t="s">
        <v>135</v>
      </c>
      <c r="H179" s="57" t="s">
        <v>18</v>
      </c>
      <c r="I179" s="57" t="s">
        <v>40</v>
      </c>
      <c r="J179" s="60">
        <v>2800</v>
      </c>
      <c r="K179" s="60">
        <v>2800</v>
      </c>
      <c r="L179" s="60">
        <f>3000+K179</f>
        <v>5800</v>
      </c>
      <c r="M179" s="60">
        <f>3000+L179</f>
        <v>8800</v>
      </c>
      <c r="N179" s="60">
        <f>3000+M179</f>
        <v>11800</v>
      </c>
      <c r="O179" s="60">
        <f>500+N179</f>
        <v>12300</v>
      </c>
      <c r="P179" s="60">
        <f>4100+O179</f>
        <v>16400</v>
      </c>
    </row>
    <row r="180" spans="1:34" ht="12.4" customHeight="1" x14ac:dyDescent="0.25">
      <c r="A180" s="30">
        <v>4</v>
      </c>
      <c r="B180" s="30">
        <v>1</v>
      </c>
      <c r="C180" s="30">
        <v>2</v>
      </c>
      <c r="D180" s="274"/>
      <c r="E180" s="50" t="s">
        <v>38</v>
      </c>
      <c r="F180" s="54" t="s">
        <v>221</v>
      </c>
      <c r="G180" s="57" t="s">
        <v>21</v>
      </c>
      <c r="H180" s="57" t="s">
        <v>18</v>
      </c>
      <c r="I180" s="57" t="s">
        <v>40</v>
      </c>
      <c r="J180" s="60">
        <v>1800</v>
      </c>
      <c r="K180" s="60">
        <v>1800</v>
      </c>
      <c r="L180" s="60">
        <f>K180+1800</f>
        <v>3600</v>
      </c>
      <c r="M180" s="60">
        <f>L180+1800</f>
        <v>5400</v>
      </c>
      <c r="N180" s="60">
        <f>M180+1800</f>
        <v>7200</v>
      </c>
      <c r="O180" s="60">
        <f>N180+700</f>
        <v>7900</v>
      </c>
      <c r="P180" s="60">
        <v>7900</v>
      </c>
    </row>
    <row r="181" spans="1:34" ht="12.4" customHeight="1" x14ac:dyDescent="0.25">
      <c r="A181" s="30">
        <v>4</v>
      </c>
      <c r="B181" s="30">
        <v>1</v>
      </c>
      <c r="C181" s="30">
        <v>2</v>
      </c>
      <c r="D181" s="274"/>
      <c r="E181" s="50" t="s">
        <v>38</v>
      </c>
      <c r="F181" s="54" t="s">
        <v>222</v>
      </c>
      <c r="G181" s="57" t="s">
        <v>21</v>
      </c>
      <c r="H181" s="57" t="s">
        <v>18</v>
      </c>
      <c r="I181" s="57" t="s">
        <v>40</v>
      </c>
      <c r="J181" s="60">
        <v>57800</v>
      </c>
      <c r="K181" s="60">
        <v>57800</v>
      </c>
      <c r="L181" s="60">
        <f>K181+57800</f>
        <v>115600</v>
      </c>
      <c r="M181" s="60">
        <f>L181+57800</f>
        <v>173400</v>
      </c>
      <c r="N181" s="60">
        <f>M181+57800</f>
        <v>231200</v>
      </c>
      <c r="O181" s="60">
        <v>239200</v>
      </c>
      <c r="P181" s="60">
        <v>239200</v>
      </c>
    </row>
    <row r="182" spans="1:34" s="21" customFormat="1" ht="12.4" customHeight="1" x14ac:dyDescent="0.25">
      <c r="A182" s="30">
        <v>4</v>
      </c>
      <c r="B182" s="30">
        <v>1</v>
      </c>
      <c r="C182" s="30">
        <v>2</v>
      </c>
      <c r="D182" s="274"/>
      <c r="E182" s="50" t="s">
        <v>38</v>
      </c>
      <c r="F182" s="54" t="s">
        <v>223</v>
      </c>
      <c r="G182" s="57" t="s">
        <v>17</v>
      </c>
      <c r="H182" s="57" t="s">
        <v>18</v>
      </c>
      <c r="I182" s="57" t="s">
        <v>40</v>
      </c>
      <c r="J182" s="60">
        <v>2</v>
      </c>
      <c r="K182" s="60">
        <v>2</v>
      </c>
      <c r="L182" s="60">
        <f>4+K182</f>
        <v>6</v>
      </c>
      <c r="M182" s="60">
        <f>+L182+4</f>
        <v>10</v>
      </c>
      <c r="N182" s="60">
        <f>4+M182</f>
        <v>14</v>
      </c>
      <c r="O182" s="60">
        <f>+N182+2</f>
        <v>16</v>
      </c>
      <c r="P182" s="60">
        <f>O182</f>
        <v>16</v>
      </c>
    </row>
    <row r="183" spans="1:34" x14ac:dyDescent="0.25">
      <c r="A183" s="119">
        <v>4</v>
      </c>
      <c r="B183" s="119">
        <v>1</v>
      </c>
      <c r="C183" s="119">
        <v>3</v>
      </c>
      <c r="D183" s="285" t="s">
        <v>224</v>
      </c>
      <c r="E183" s="120" t="s">
        <v>2</v>
      </c>
      <c r="F183" s="121" t="s">
        <v>225</v>
      </c>
      <c r="G183" s="119"/>
      <c r="H183" s="119"/>
      <c r="I183" s="119"/>
      <c r="J183" s="119"/>
      <c r="K183" s="122"/>
      <c r="L183" s="122"/>
      <c r="M183" s="122"/>
      <c r="N183" s="122"/>
      <c r="O183" s="122"/>
      <c r="P183" s="122"/>
    </row>
    <row r="184" spans="1:34" s="21" customFormat="1" ht="12.4" customHeight="1" x14ac:dyDescent="0.25">
      <c r="A184" s="30">
        <v>4</v>
      </c>
      <c r="B184" s="30">
        <v>1</v>
      </c>
      <c r="C184" s="30">
        <v>3</v>
      </c>
      <c r="D184" s="274"/>
      <c r="E184" s="50" t="s">
        <v>38</v>
      </c>
      <c r="F184" s="54" t="s">
        <v>226</v>
      </c>
      <c r="G184" s="57" t="s">
        <v>61</v>
      </c>
      <c r="H184" s="57" t="s">
        <v>18</v>
      </c>
      <c r="I184" s="57" t="s">
        <v>40</v>
      </c>
      <c r="J184" s="60">
        <v>0</v>
      </c>
      <c r="K184" s="60">
        <v>0</v>
      </c>
      <c r="L184" s="60">
        <v>1</v>
      </c>
      <c r="M184" s="60">
        <v>1</v>
      </c>
      <c r="N184" s="60">
        <v>2</v>
      </c>
      <c r="O184" s="60">
        <v>2</v>
      </c>
      <c r="P184" s="60">
        <v>2</v>
      </c>
    </row>
    <row r="185" spans="1:34" s="21" customFormat="1" ht="12.4" customHeight="1" x14ac:dyDescent="0.25">
      <c r="A185" s="30">
        <v>4</v>
      </c>
      <c r="B185" s="30">
        <v>1</v>
      </c>
      <c r="C185" s="30">
        <v>3</v>
      </c>
      <c r="D185" s="274"/>
      <c r="E185" s="50" t="s">
        <v>38</v>
      </c>
      <c r="F185" s="54" t="s">
        <v>227</v>
      </c>
      <c r="G185" s="57" t="s">
        <v>61</v>
      </c>
      <c r="H185" s="57" t="s">
        <v>18</v>
      </c>
      <c r="I185" s="57" t="s">
        <v>19</v>
      </c>
      <c r="J185" s="60">
        <v>30</v>
      </c>
      <c r="K185" s="60">
        <v>15</v>
      </c>
      <c r="L185" s="60">
        <f>K185+20</f>
        <v>35</v>
      </c>
      <c r="M185" s="60">
        <f>L185+20</f>
        <v>55</v>
      </c>
      <c r="N185" s="60">
        <f>M185+30</f>
        <v>85</v>
      </c>
      <c r="O185" s="60">
        <f>N185+15</f>
        <v>100</v>
      </c>
      <c r="P185" s="60">
        <v>100</v>
      </c>
    </row>
    <row r="186" spans="1:34" ht="12.4" customHeight="1" x14ac:dyDescent="0.25">
      <c r="A186" s="30">
        <v>4</v>
      </c>
      <c r="B186" s="30">
        <v>1</v>
      </c>
      <c r="C186" s="30">
        <v>3</v>
      </c>
      <c r="D186" s="274"/>
      <c r="E186" s="50" t="s">
        <v>38</v>
      </c>
      <c r="F186" s="54" t="s">
        <v>228</v>
      </c>
      <c r="G186" s="57" t="s">
        <v>61</v>
      </c>
      <c r="H186" s="57" t="s">
        <v>18</v>
      </c>
      <c r="I186" s="57" t="s">
        <v>19</v>
      </c>
      <c r="J186" s="60">
        <v>3</v>
      </c>
      <c r="K186" s="60">
        <v>2</v>
      </c>
      <c r="L186" s="60">
        <f>2+4</f>
        <v>6</v>
      </c>
      <c r="M186" s="60">
        <f>6+4</f>
        <v>10</v>
      </c>
      <c r="N186" s="60">
        <f>10+4</f>
        <v>14</v>
      </c>
      <c r="O186" s="60">
        <f>14+2</f>
        <v>16</v>
      </c>
      <c r="P186" s="60">
        <v>16</v>
      </c>
    </row>
    <row r="187" spans="1:34" ht="12.4" customHeight="1" x14ac:dyDescent="0.25">
      <c r="A187" s="30">
        <v>4</v>
      </c>
      <c r="B187" s="30">
        <v>1</v>
      </c>
      <c r="C187" s="30">
        <v>3</v>
      </c>
      <c r="D187" s="274"/>
      <c r="E187" s="50" t="s">
        <v>38</v>
      </c>
      <c r="F187" s="293" t="s">
        <v>229</v>
      </c>
      <c r="G187" s="175" t="s">
        <v>21</v>
      </c>
      <c r="H187" s="175" t="s">
        <v>18</v>
      </c>
      <c r="I187" s="175" t="s">
        <v>19</v>
      </c>
      <c r="J187" s="180">
        <v>1</v>
      </c>
      <c r="K187" s="180">
        <v>0</v>
      </c>
      <c r="L187" s="180">
        <v>1</v>
      </c>
      <c r="M187" s="180">
        <v>2</v>
      </c>
      <c r="N187" s="180">
        <v>3</v>
      </c>
      <c r="O187" s="180">
        <v>3</v>
      </c>
      <c r="P187" s="180">
        <v>3</v>
      </c>
    </row>
    <row r="188" spans="1:34" s="21" customFormat="1" ht="12.4" customHeight="1" x14ac:dyDescent="0.25">
      <c r="A188" s="30">
        <v>4</v>
      </c>
      <c r="B188" s="30">
        <v>1</v>
      </c>
      <c r="C188" s="30">
        <v>3</v>
      </c>
      <c r="D188" s="274"/>
      <c r="E188" s="50" t="s">
        <v>38</v>
      </c>
      <c r="F188" s="54" t="s">
        <v>230</v>
      </c>
      <c r="G188" s="57" t="s">
        <v>17</v>
      </c>
      <c r="H188" s="57" t="s">
        <v>22</v>
      </c>
      <c r="I188" s="57" t="s">
        <v>23</v>
      </c>
      <c r="J188" s="140">
        <v>1</v>
      </c>
      <c r="K188" s="140">
        <v>1</v>
      </c>
      <c r="L188" s="140">
        <v>1</v>
      </c>
      <c r="M188" s="140">
        <v>1</v>
      </c>
      <c r="N188" s="140">
        <v>1</v>
      </c>
      <c r="O188" s="140">
        <v>0</v>
      </c>
      <c r="P188" s="140">
        <v>1</v>
      </c>
    </row>
    <row r="189" spans="1:34" x14ac:dyDescent="0.25">
      <c r="A189" s="119">
        <v>4</v>
      </c>
      <c r="B189" s="119">
        <v>1</v>
      </c>
      <c r="C189" s="119">
        <v>4</v>
      </c>
      <c r="D189" s="285" t="s">
        <v>231</v>
      </c>
      <c r="E189" s="120" t="s">
        <v>2</v>
      </c>
      <c r="F189" s="121" t="s">
        <v>232</v>
      </c>
      <c r="G189" s="119"/>
      <c r="H189" s="119"/>
      <c r="I189" s="119"/>
      <c r="J189" s="119"/>
      <c r="K189" s="122"/>
      <c r="L189" s="122"/>
      <c r="M189" s="122"/>
      <c r="N189" s="122"/>
      <c r="O189" s="122"/>
      <c r="P189" s="122"/>
    </row>
    <row r="190" spans="1:34" s="64" customFormat="1" ht="12.4" customHeight="1" x14ac:dyDescent="0.25">
      <c r="A190" s="30">
        <v>4</v>
      </c>
      <c r="B190" s="30">
        <v>1</v>
      </c>
      <c r="C190" s="30">
        <v>4</v>
      </c>
      <c r="D190" s="274"/>
      <c r="E190" s="50" t="s">
        <v>38</v>
      </c>
      <c r="F190" s="297" t="s">
        <v>233</v>
      </c>
      <c r="G190" s="175" t="s">
        <v>21</v>
      </c>
      <c r="H190" s="175" t="s">
        <v>22</v>
      </c>
      <c r="I190" s="175" t="s">
        <v>40</v>
      </c>
      <c r="J190" s="298">
        <v>0</v>
      </c>
      <c r="K190" s="298">
        <v>0</v>
      </c>
      <c r="L190" s="298">
        <v>0.7</v>
      </c>
      <c r="M190" s="298">
        <v>1</v>
      </c>
      <c r="N190" s="298">
        <v>1</v>
      </c>
      <c r="O190" s="298">
        <v>1</v>
      </c>
      <c r="P190" s="298">
        <v>1</v>
      </c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</row>
    <row r="191" spans="1:34" s="21" customFormat="1" ht="12.4" customHeight="1" x14ac:dyDescent="0.25">
      <c r="A191" s="30">
        <v>4</v>
      </c>
      <c r="B191" s="30">
        <v>1</v>
      </c>
      <c r="C191" s="30">
        <v>4</v>
      </c>
      <c r="D191" s="274"/>
      <c r="E191" s="50" t="s">
        <v>38</v>
      </c>
      <c r="F191" s="54" t="s">
        <v>234</v>
      </c>
      <c r="G191" s="57" t="s">
        <v>21</v>
      </c>
      <c r="H191" s="57" t="s">
        <v>22</v>
      </c>
      <c r="I191" s="57" t="s">
        <v>23</v>
      </c>
      <c r="J191" s="140">
        <v>0.95</v>
      </c>
      <c r="K191" s="140">
        <v>0.95</v>
      </c>
      <c r="L191" s="140">
        <v>0.95</v>
      </c>
      <c r="M191" s="140">
        <v>0.95</v>
      </c>
      <c r="N191" s="140">
        <v>0.95</v>
      </c>
      <c r="O191" s="140">
        <v>0</v>
      </c>
      <c r="P191" s="140">
        <v>0.95</v>
      </c>
    </row>
    <row r="192" spans="1:34" s="21" customFormat="1" ht="12.4" customHeight="1" x14ac:dyDescent="0.25">
      <c r="A192" s="30">
        <v>4</v>
      </c>
      <c r="B192" s="30">
        <v>1</v>
      </c>
      <c r="C192" s="30">
        <v>4</v>
      </c>
      <c r="D192" s="274"/>
      <c r="E192" s="158" t="s">
        <v>38</v>
      </c>
      <c r="F192" s="54" t="s">
        <v>235</v>
      </c>
      <c r="G192" s="57" t="s">
        <v>21</v>
      </c>
      <c r="H192" s="57" t="s">
        <v>22</v>
      </c>
      <c r="I192" s="57" t="s">
        <v>23</v>
      </c>
      <c r="J192" s="140">
        <v>0.95</v>
      </c>
      <c r="K192" s="140">
        <v>0.95</v>
      </c>
      <c r="L192" s="140">
        <v>0.95</v>
      </c>
      <c r="M192" s="140">
        <v>0.95</v>
      </c>
      <c r="N192" s="140">
        <v>0.95</v>
      </c>
      <c r="O192" s="140">
        <v>0</v>
      </c>
      <c r="P192" s="140">
        <v>0.95</v>
      </c>
    </row>
    <row r="193" spans="1:34" ht="12.4" customHeight="1" x14ac:dyDescent="0.25">
      <c r="A193" s="30">
        <v>4</v>
      </c>
      <c r="B193" s="30">
        <v>1</v>
      </c>
      <c r="C193" s="30">
        <v>4</v>
      </c>
      <c r="D193" s="274"/>
      <c r="E193" s="158" t="s">
        <v>38</v>
      </c>
      <c r="F193" s="54" t="s">
        <v>236</v>
      </c>
      <c r="G193" s="57" t="s">
        <v>21</v>
      </c>
      <c r="H193" s="57" t="s">
        <v>22</v>
      </c>
      <c r="I193" s="57" t="s">
        <v>23</v>
      </c>
      <c r="J193" s="140">
        <v>0.95</v>
      </c>
      <c r="K193" s="140">
        <v>0.95</v>
      </c>
      <c r="L193" s="140">
        <v>0.95</v>
      </c>
      <c r="M193" s="140">
        <v>0.95</v>
      </c>
      <c r="N193" s="140">
        <v>0.95</v>
      </c>
      <c r="O193" s="140">
        <v>0</v>
      </c>
      <c r="P193" s="140">
        <v>0.95</v>
      </c>
    </row>
    <row r="194" spans="1:34" ht="12.4" customHeight="1" x14ac:dyDescent="0.25">
      <c r="A194" s="30">
        <v>4</v>
      </c>
      <c r="B194" s="30">
        <v>1</v>
      </c>
      <c r="C194" s="30">
        <v>4</v>
      </c>
      <c r="D194" s="274"/>
      <c r="E194" s="158" t="s">
        <v>38</v>
      </c>
      <c r="F194" s="54" t="s">
        <v>237</v>
      </c>
      <c r="G194" s="57" t="s">
        <v>21</v>
      </c>
      <c r="H194" s="57" t="s">
        <v>18</v>
      </c>
      <c r="I194" s="57" t="s">
        <v>30</v>
      </c>
      <c r="J194" s="60">
        <v>4</v>
      </c>
      <c r="K194" s="60">
        <v>4</v>
      </c>
      <c r="L194" s="60">
        <v>4.2</v>
      </c>
      <c r="M194" s="60">
        <v>4.3</v>
      </c>
      <c r="N194" s="60">
        <v>4.4000000000000004</v>
      </c>
      <c r="O194" s="60">
        <v>0</v>
      </c>
      <c r="P194" s="60">
        <v>4.5</v>
      </c>
    </row>
    <row r="195" spans="1:34" ht="12.4" customHeight="1" x14ac:dyDescent="0.25">
      <c r="A195" s="113">
        <v>4</v>
      </c>
      <c r="B195" s="113">
        <v>2</v>
      </c>
      <c r="C195" s="113">
        <v>0</v>
      </c>
      <c r="D195" s="284"/>
      <c r="E195" s="114" t="s">
        <v>1</v>
      </c>
      <c r="F195" s="115" t="s">
        <v>238</v>
      </c>
      <c r="G195" s="113"/>
      <c r="H195" s="113"/>
      <c r="I195" s="113"/>
      <c r="J195" s="113"/>
      <c r="K195" s="116"/>
      <c r="L195" s="116"/>
      <c r="M195" s="116"/>
      <c r="N195" s="116"/>
      <c r="O195" s="116"/>
      <c r="P195" s="116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</row>
    <row r="196" spans="1:34" ht="12.4" customHeight="1" x14ac:dyDescent="0.25">
      <c r="A196" s="30">
        <v>4</v>
      </c>
      <c r="B196" s="30">
        <v>2</v>
      </c>
      <c r="C196" s="30">
        <v>0</v>
      </c>
      <c r="D196" s="274"/>
      <c r="E196" s="50" t="s">
        <v>38</v>
      </c>
      <c r="F196" s="54" t="s">
        <v>239</v>
      </c>
      <c r="G196" s="57" t="s">
        <v>21</v>
      </c>
      <c r="H196" s="57" t="s">
        <v>18</v>
      </c>
      <c r="I196" s="175" t="s">
        <v>19</v>
      </c>
      <c r="J196" s="60">
        <v>111</v>
      </c>
      <c r="K196" s="60">
        <f>2+J196</f>
        <v>113</v>
      </c>
      <c r="L196" s="60">
        <f>+K196+8</f>
        <v>121</v>
      </c>
      <c r="M196" s="60">
        <f>+L196+44</f>
        <v>165</v>
      </c>
      <c r="N196" s="60">
        <f>M196</f>
        <v>165</v>
      </c>
      <c r="O196" s="60">
        <f>N196</f>
        <v>165</v>
      </c>
      <c r="P196" s="60">
        <f>O196</f>
        <v>165</v>
      </c>
    </row>
    <row r="197" spans="1:34" ht="12.4" customHeight="1" x14ac:dyDescent="0.25">
      <c r="A197" s="30">
        <v>4</v>
      </c>
      <c r="B197" s="30">
        <v>2</v>
      </c>
      <c r="C197" s="30">
        <v>0</v>
      </c>
      <c r="D197" s="274"/>
      <c r="E197" s="50" t="s">
        <v>28</v>
      </c>
      <c r="F197" s="293" t="s">
        <v>240</v>
      </c>
      <c r="G197" s="175" t="s">
        <v>17</v>
      </c>
      <c r="H197" s="57" t="s">
        <v>241</v>
      </c>
      <c r="I197" s="175" t="s">
        <v>40</v>
      </c>
      <c r="J197" s="60">
        <v>0</v>
      </c>
      <c r="K197" s="60">
        <f>450+116+160</f>
        <v>726</v>
      </c>
      <c r="L197" s="60">
        <f>+K197+400+330+380</f>
        <v>1836</v>
      </c>
      <c r="M197" s="60">
        <f>L197+8400+400</f>
        <v>10636</v>
      </c>
      <c r="N197" s="60">
        <f>M197+2400</f>
        <v>13036</v>
      </c>
      <c r="O197" s="60">
        <f>+N197</f>
        <v>13036</v>
      </c>
      <c r="P197" s="60">
        <f>O197</f>
        <v>13036</v>
      </c>
    </row>
    <row r="198" spans="1:34" ht="12.4" customHeight="1" x14ac:dyDescent="0.25">
      <c r="A198" s="30">
        <v>4</v>
      </c>
      <c r="B198" s="30">
        <v>2</v>
      </c>
      <c r="C198" s="30">
        <v>0</v>
      </c>
      <c r="D198" s="274"/>
      <c r="E198" s="50" t="s">
        <v>28</v>
      </c>
      <c r="F198" s="293" t="s">
        <v>242</v>
      </c>
      <c r="G198" s="175" t="s">
        <v>17</v>
      </c>
      <c r="H198" s="57" t="s">
        <v>241</v>
      </c>
      <c r="I198" s="175" t="s">
        <v>19</v>
      </c>
      <c r="J198" s="60">
        <v>41686.17</v>
      </c>
      <c r="K198" s="60">
        <f>J198</f>
        <v>41686.17</v>
      </c>
      <c r="L198" s="60">
        <f>K198+5040</f>
        <v>46726.17</v>
      </c>
      <c r="M198" s="60">
        <f>+L198+3360+960</f>
        <v>51046.17</v>
      </c>
      <c r="N198" s="60">
        <f>+M198+1440</f>
        <v>52486.17</v>
      </c>
      <c r="O198" s="60">
        <f>+N198+5000</f>
        <v>57486.17</v>
      </c>
      <c r="P198" s="60">
        <f>O198</f>
        <v>57486.17</v>
      </c>
    </row>
    <row r="199" spans="1:34" ht="12.4" customHeight="1" x14ac:dyDescent="0.25">
      <c r="A199" s="30">
        <v>4</v>
      </c>
      <c r="B199" s="30">
        <v>2</v>
      </c>
      <c r="C199" s="30">
        <v>0</v>
      </c>
      <c r="D199" s="274"/>
      <c r="E199" s="50" t="s">
        <v>28</v>
      </c>
      <c r="F199" s="54" t="s">
        <v>243</v>
      </c>
      <c r="G199" s="57" t="s">
        <v>21</v>
      </c>
      <c r="H199" s="57" t="s">
        <v>22</v>
      </c>
      <c r="I199" s="57" t="s">
        <v>23</v>
      </c>
      <c r="J199" s="140">
        <v>0.9</v>
      </c>
      <c r="K199" s="140">
        <v>0.9</v>
      </c>
      <c r="L199" s="140">
        <v>0.9</v>
      </c>
      <c r="M199" s="140">
        <v>0.9</v>
      </c>
      <c r="N199" s="140">
        <v>0.9</v>
      </c>
      <c r="O199" s="140">
        <v>0</v>
      </c>
      <c r="P199" s="140">
        <v>0.9</v>
      </c>
    </row>
    <row r="200" spans="1:34" ht="12.4" customHeight="1" x14ac:dyDescent="0.25">
      <c r="A200" s="30">
        <v>4</v>
      </c>
      <c r="B200" s="30">
        <v>2</v>
      </c>
      <c r="C200" s="30">
        <v>0</v>
      </c>
      <c r="D200" s="274"/>
      <c r="E200" s="50" t="s">
        <v>28</v>
      </c>
      <c r="F200" s="54" t="s">
        <v>244</v>
      </c>
      <c r="G200" s="57" t="s">
        <v>21</v>
      </c>
      <c r="H200" s="57" t="s">
        <v>22</v>
      </c>
      <c r="I200" s="57" t="s">
        <v>23</v>
      </c>
      <c r="J200" s="140">
        <v>0.9</v>
      </c>
      <c r="K200" s="140">
        <v>0.9</v>
      </c>
      <c r="L200" s="140">
        <v>0.9</v>
      </c>
      <c r="M200" s="140">
        <v>0.9</v>
      </c>
      <c r="N200" s="140">
        <v>0.9</v>
      </c>
      <c r="O200" s="140">
        <v>0</v>
      </c>
      <c r="P200" s="140">
        <v>0.9</v>
      </c>
    </row>
    <row r="201" spans="1:34" ht="12.4" customHeight="1" x14ac:dyDescent="0.25">
      <c r="A201" s="30">
        <v>4</v>
      </c>
      <c r="B201" s="30">
        <v>2</v>
      </c>
      <c r="C201" s="30">
        <v>0</v>
      </c>
      <c r="D201" s="274"/>
      <c r="E201" s="50" t="s">
        <v>28</v>
      </c>
      <c r="F201" s="54" t="s">
        <v>245</v>
      </c>
      <c r="G201" s="57" t="s">
        <v>21</v>
      </c>
      <c r="H201" s="57" t="s">
        <v>246</v>
      </c>
      <c r="I201" s="57" t="s">
        <v>23</v>
      </c>
      <c r="J201" s="60">
        <v>4.3</v>
      </c>
      <c r="K201" s="60">
        <v>4.3</v>
      </c>
      <c r="L201" s="60">
        <v>4.3</v>
      </c>
      <c r="M201" s="60">
        <v>4.3</v>
      </c>
      <c r="N201" s="60">
        <v>4.3</v>
      </c>
      <c r="O201" s="60">
        <v>0</v>
      </c>
      <c r="P201" s="60">
        <v>4.3</v>
      </c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</row>
    <row r="202" spans="1:34" ht="12.4" customHeight="1" x14ac:dyDescent="0.25">
      <c r="A202" s="30">
        <v>4</v>
      </c>
      <c r="B202" s="30">
        <v>2</v>
      </c>
      <c r="C202" s="30">
        <v>0</v>
      </c>
      <c r="D202" s="274"/>
      <c r="E202" s="50" t="s">
        <v>28</v>
      </c>
      <c r="F202" s="54" t="s">
        <v>247</v>
      </c>
      <c r="G202" s="57" t="s">
        <v>21</v>
      </c>
      <c r="H202" s="57" t="s">
        <v>248</v>
      </c>
      <c r="I202" s="57" t="s">
        <v>23</v>
      </c>
      <c r="J202" s="60">
        <v>82.1</v>
      </c>
      <c r="K202" s="60">
        <v>82.1</v>
      </c>
      <c r="L202" s="60">
        <v>82.1</v>
      </c>
      <c r="M202" s="60">
        <v>82.1</v>
      </c>
      <c r="N202" s="60">
        <v>82.1</v>
      </c>
      <c r="O202" s="60">
        <v>0</v>
      </c>
      <c r="P202" s="60">
        <v>82.1</v>
      </c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</row>
    <row r="203" spans="1:34" ht="12.4" customHeight="1" x14ac:dyDescent="0.25">
      <c r="A203" s="30">
        <v>4</v>
      </c>
      <c r="B203" s="30">
        <v>2</v>
      </c>
      <c r="C203" s="30">
        <v>0</v>
      </c>
      <c r="D203" s="274"/>
      <c r="E203" s="50" t="s">
        <v>28</v>
      </c>
      <c r="F203" s="54" t="s">
        <v>249</v>
      </c>
      <c r="G203" s="57" t="s">
        <v>21</v>
      </c>
      <c r="H203" s="57" t="s">
        <v>22</v>
      </c>
      <c r="I203" s="57" t="s">
        <v>19</v>
      </c>
      <c r="J203" s="291" t="s">
        <v>250</v>
      </c>
      <c r="K203" s="291">
        <v>0.96399999999999997</v>
      </c>
      <c r="L203" s="291" t="s">
        <v>251</v>
      </c>
      <c r="M203" s="291">
        <v>0.97</v>
      </c>
      <c r="N203" s="291">
        <v>0.98</v>
      </c>
      <c r="O203" s="291">
        <v>0</v>
      </c>
      <c r="P203" s="291">
        <v>0.98</v>
      </c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</row>
    <row r="204" spans="1:34" ht="12.4" customHeight="1" x14ac:dyDescent="0.25">
      <c r="A204" s="119">
        <v>4</v>
      </c>
      <c r="B204" s="119">
        <v>2</v>
      </c>
      <c r="C204" s="119">
        <v>1</v>
      </c>
      <c r="D204" s="287" t="s">
        <v>252</v>
      </c>
      <c r="E204" s="120" t="s">
        <v>253</v>
      </c>
      <c r="F204" s="121" t="s">
        <v>254</v>
      </c>
      <c r="G204" s="119"/>
      <c r="H204" s="119"/>
      <c r="I204" s="119"/>
      <c r="J204" s="119"/>
      <c r="K204" s="122"/>
      <c r="L204" s="122"/>
      <c r="M204" s="122"/>
      <c r="N204" s="122"/>
      <c r="O204" s="122"/>
      <c r="P204" s="122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</row>
    <row r="205" spans="1:34" ht="12.4" customHeight="1" x14ac:dyDescent="0.25">
      <c r="A205" s="30">
        <v>4</v>
      </c>
      <c r="B205" s="30">
        <v>2</v>
      </c>
      <c r="C205" s="30">
        <v>1</v>
      </c>
      <c r="D205" s="274"/>
      <c r="E205" s="50" t="s">
        <v>38</v>
      </c>
      <c r="F205" s="54" t="s">
        <v>255</v>
      </c>
      <c r="G205" s="57" t="s">
        <v>21</v>
      </c>
      <c r="H205" s="57" t="s">
        <v>22</v>
      </c>
      <c r="I205" s="57" t="s">
        <v>40</v>
      </c>
      <c r="J205" s="140">
        <v>0</v>
      </c>
      <c r="K205" s="140">
        <v>0.25</v>
      </c>
      <c r="L205" s="140">
        <f>+K205+25%</f>
        <v>0.5</v>
      </c>
      <c r="M205" s="140">
        <f>+L205+25%</f>
        <v>0.75</v>
      </c>
      <c r="N205" s="140">
        <f>+M205+25%</f>
        <v>1</v>
      </c>
      <c r="O205" s="140">
        <f>N205</f>
        <v>1</v>
      </c>
      <c r="P205" s="140">
        <v>1</v>
      </c>
    </row>
    <row r="206" spans="1:34" ht="12.4" customHeight="1" x14ac:dyDescent="0.25">
      <c r="A206" s="30">
        <v>4</v>
      </c>
      <c r="B206" s="30">
        <v>2</v>
      </c>
      <c r="C206" s="30">
        <v>1</v>
      </c>
      <c r="D206" s="274"/>
      <c r="E206" s="50" t="s">
        <v>38</v>
      </c>
      <c r="F206" s="54" t="s">
        <v>256</v>
      </c>
      <c r="G206" s="57" t="s">
        <v>21</v>
      </c>
      <c r="H206" s="57" t="s">
        <v>22</v>
      </c>
      <c r="I206" s="57" t="s">
        <v>30</v>
      </c>
      <c r="J206" s="140">
        <v>0.9</v>
      </c>
      <c r="K206" s="140">
        <v>0.9</v>
      </c>
      <c r="L206" s="140">
        <v>0.93</v>
      </c>
      <c r="M206" s="140">
        <v>0.96</v>
      </c>
      <c r="N206" s="140">
        <v>0.98</v>
      </c>
      <c r="O206" s="140">
        <v>0</v>
      </c>
      <c r="P206" s="140">
        <f>N206</f>
        <v>0.98</v>
      </c>
    </row>
    <row r="207" spans="1:34" ht="12.4" customHeight="1" x14ac:dyDescent="0.25">
      <c r="A207" s="30">
        <v>4</v>
      </c>
      <c r="B207" s="30">
        <v>2</v>
      </c>
      <c r="C207" s="30">
        <v>1</v>
      </c>
      <c r="D207" s="274"/>
      <c r="E207" s="50" t="s">
        <v>38</v>
      </c>
      <c r="F207" s="54" t="s">
        <v>257</v>
      </c>
      <c r="G207" s="57" t="s">
        <v>17</v>
      </c>
      <c r="H207" s="57" t="s">
        <v>22</v>
      </c>
      <c r="I207" s="57" t="s">
        <v>23</v>
      </c>
      <c r="J207" s="140">
        <v>0.95</v>
      </c>
      <c r="K207" s="140">
        <v>0.95</v>
      </c>
      <c r="L207" s="140">
        <v>0.95</v>
      </c>
      <c r="M207" s="140">
        <v>0.95</v>
      </c>
      <c r="N207" s="140">
        <v>0.95</v>
      </c>
      <c r="O207" s="140">
        <v>0</v>
      </c>
      <c r="P207" s="140">
        <v>0.95</v>
      </c>
    </row>
    <row r="208" spans="1:34" ht="12" customHeight="1" x14ac:dyDescent="0.25">
      <c r="A208" s="30">
        <v>4</v>
      </c>
      <c r="B208" s="30">
        <v>2</v>
      </c>
      <c r="C208" s="30">
        <v>1</v>
      </c>
      <c r="D208" s="274"/>
      <c r="E208" s="50" t="s">
        <v>38</v>
      </c>
      <c r="F208" s="54" t="s">
        <v>258</v>
      </c>
      <c r="G208" s="57" t="s">
        <v>21</v>
      </c>
      <c r="H208" s="57" t="s">
        <v>22</v>
      </c>
      <c r="I208" s="57" t="s">
        <v>23</v>
      </c>
      <c r="J208" s="140">
        <v>0.9</v>
      </c>
      <c r="K208" s="140">
        <v>0.9</v>
      </c>
      <c r="L208" s="140">
        <v>0.9</v>
      </c>
      <c r="M208" s="140">
        <v>0.9</v>
      </c>
      <c r="N208" s="140">
        <v>0.9</v>
      </c>
      <c r="O208" s="140">
        <v>0</v>
      </c>
      <c r="P208" s="140">
        <v>0.9</v>
      </c>
    </row>
    <row r="209" spans="1:34" ht="12" customHeight="1" x14ac:dyDescent="0.25">
      <c r="A209" s="30">
        <v>4</v>
      </c>
      <c r="B209" s="30">
        <v>2</v>
      </c>
      <c r="C209" s="30">
        <v>1</v>
      </c>
      <c r="D209" s="274"/>
      <c r="E209" s="50" t="s">
        <v>38</v>
      </c>
      <c r="F209" s="54" t="s">
        <v>259</v>
      </c>
      <c r="G209" s="57" t="s">
        <v>21</v>
      </c>
      <c r="H209" s="57" t="s">
        <v>22</v>
      </c>
      <c r="I209" s="57" t="s">
        <v>23</v>
      </c>
      <c r="J209" s="140">
        <v>0.9</v>
      </c>
      <c r="K209" s="140">
        <v>0.9</v>
      </c>
      <c r="L209" s="140">
        <v>0.9</v>
      </c>
      <c r="M209" s="140">
        <v>0.9</v>
      </c>
      <c r="N209" s="140">
        <v>0.9</v>
      </c>
      <c r="O209" s="140">
        <v>0</v>
      </c>
      <c r="P209" s="140">
        <v>0.9</v>
      </c>
    </row>
    <row r="210" spans="1:34" ht="12" customHeight="1" x14ac:dyDescent="0.25">
      <c r="A210" s="30">
        <v>4</v>
      </c>
      <c r="B210" s="30">
        <v>2</v>
      </c>
      <c r="C210" s="30">
        <v>1</v>
      </c>
      <c r="D210" s="274"/>
      <c r="E210" s="50" t="s">
        <v>38</v>
      </c>
      <c r="F210" s="54" t="s">
        <v>260</v>
      </c>
      <c r="G210" s="57" t="s">
        <v>21</v>
      </c>
      <c r="H210" s="57" t="s">
        <v>22</v>
      </c>
      <c r="I210" s="57" t="s">
        <v>19</v>
      </c>
      <c r="J210" s="140">
        <v>0</v>
      </c>
      <c r="K210" s="140">
        <v>0</v>
      </c>
      <c r="L210" s="140">
        <v>0.3</v>
      </c>
      <c r="M210" s="140">
        <v>0.3</v>
      </c>
      <c r="N210" s="140">
        <v>0.3</v>
      </c>
      <c r="O210" s="140">
        <v>0.3</v>
      </c>
      <c r="P210" s="140">
        <v>0.3</v>
      </c>
    </row>
    <row r="211" spans="1:34" ht="12.4" customHeight="1" x14ac:dyDescent="0.25">
      <c r="A211" s="119">
        <v>4</v>
      </c>
      <c r="B211" s="119">
        <v>2</v>
      </c>
      <c r="C211" s="119">
        <v>2</v>
      </c>
      <c r="D211" s="287" t="s">
        <v>261</v>
      </c>
      <c r="E211" s="120" t="s">
        <v>2</v>
      </c>
      <c r="F211" s="121" t="s">
        <v>262</v>
      </c>
      <c r="G211" s="119"/>
      <c r="H211" s="119"/>
      <c r="I211" s="119"/>
      <c r="J211" s="119"/>
      <c r="K211" s="122"/>
      <c r="L211" s="122"/>
      <c r="M211" s="122"/>
      <c r="N211" s="122"/>
      <c r="O211" s="122"/>
      <c r="P211" s="122"/>
    </row>
    <row r="212" spans="1:34" s="64" customFormat="1" ht="12.4" customHeight="1" x14ac:dyDescent="0.25">
      <c r="A212" s="30">
        <v>4</v>
      </c>
      <c r="B212" s="30">
        <v>2</v>
      </c>
      <c r="C212" s="30">
        <v>2</v>
      </c>
      <c r="D212" s="274"/>
      <c r="E212" s="50" t="s">
        <v>38</v>
      </c>
      <c r="F212" s="54" t="s">
        <v>263</v>
      </c>
      <c r="G212" s="57" t="s">
        <v>17</v>
      </c>
      <c r="H212" s="57" t="s">
        <v>22</v>
      </c>
      <c r="I212" s="57" t="s">
        <v>40</v>
      </c>
      <c r="J212" s="140">
        <v>0</v>
      </c>
      <c r="K212" s="140">
        <v>0</v>
      </c>
      <c r="L212" s="140">
        <v>0.15</v>
      </c>
      <c r="M212" s="140">
        <v>0.4</v>
      </c>
      <c r="N212" s="140">
        <v>0.8</v>
      </c>
      <c r="O212" s="140">
        <v>0.8</v>
      </c>
      <c r="P212" s="140">
        <v>0.8</v>
      </c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</row>
    <row r="213" spans="1:34" s="64" customFormat="1" ht="12.4" customHeight="1" x14ac:dyDescent="0.25">
      <c r="A213" s="30">
        <v>4</v>
      </c>
      <c r="B213" s="30">
        <v>2</v>
      </c>
      <c r="C213" s="30">
        <v>2</v>
      </c>
      <c r="D213" s="274"/>
      <c r="E213" s="50" t="s">
        <v>38</v>
      </c>
      <c r="F213" s="54" t="s">
        <v>264</v>
      </c>
      <c r="G213" s="57" t="s">
        <v>21</v>
      </c>
      <c r="H213" s="57" t="s">
        <v>22</v>
      </c>
      <c r="I213" s="57" t="s">
        <v>30</v>
      </c>
      <c r="J213" s="140">
        <v>0.99</v>
      </c>
      <c r="K213" s="140">
        <v>0.98</v>
      </c>
      <c r="L213" s="140">
        <v>0.98</v>
      </c>
      <c r="M213" s="140">
        <v>0.98</v>
      </c>
      <c r="N213" s="140">
        <v>0.98</v>
      </c>
      <c r="O213" s="140">
        <v>0</v>
      </c>
      <c r="P213" s="140">
        <v>0.98</v>
      </c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</row>
    <row r="214" spans="1:34" s="64" customFormat="1" ht="12.4" customHeight="1" x14ac:dyDescent="0.25">
      <c r="A214" s="30">
        <v>4</v>
      </c>
      <c r="B214" s="30">
        <v>2</v>
      </c>
      <c r="C214" s="30">
        <v>2</v>
      </c>
      <c r="D214" s="274"/>
      <c r="E214" s="50" t="s">
        <v>38</v>
      </c>
      <c r="F214" s="54" t="s">
        <v>265</v>
      </c>
      <c r="G214" s="57" t="s">
        <v>17</v>
      </c>
      <c r="H214" s="57" t="s">
        <v>266</v>
      </c>
      <c r="I214" s="57" t="s">
        <v>40</v>
      </c>
      <c r="J214" s="60">
        <f>958+1730+5877+1873</f>
        <v>10438</v>
      </c>
      <c r="K214" s="60">
        <v>11000</v>
      </c>
      <c r="L214" s="60">
        <f>11000+K214</f>
        <v>22000</v>
      </c>
      <c r="M214" s="60">
        <f>11000+L214</f>
        <v>33000</v>
      </c>
      <c r="N214" s="60">
        <f>11000+M214</f>
        <v>44000</v>
      </c>
      <c r="O214" s="60">
        <f>125+N214</f>
        <v>44125</v>
      </c>
      <c r="P214" s="60">
        <f>O214</f>
        <v>44125</v>
      </c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</row>
    <row r="215" spans="1:34" ht="12.4" customHeight="1" x14ac:dyDescent="0.25">
      <c r="A215" s="30">
        <v>4</v>
      </c>
      <c r="B215" s="30">
        <v>2</v>
      </c>
      <c r="C215" s="30">
        <v>2</v>
      </c>
      <c r="D215" s="274"/>
      <c r="E215" s="50" t="s">
        <v>38</v>
      </c>
      <c r="F215" s="54" t="s">
        <v>267</v>
      </c>
      <c r="G215" s="57" t="s">
        <v>21</v>
      </c>
      <c r="H215" s="57" t="s">
        <v>22</v>
      </c>
      <c r="I215" s="57" t="s">
        <v>30</v>
      </c>
      <c r="J215" s="140">
        <v>0.3</v>
      </c>
      <c r="K215" s="294">
        <v>0.45</v>
      </c>
      <c r="L215" s="140">
        <v>1</v>
      </c>
      <c r="M215" s="140">
        <v>1</v>
      </c>
      <c r="N215" s="140">
        <v>1</v>
      </c>
      <c r="O215" s="140">
        <v>0</v>
      </c>
      <c r="P215" s="140">
        <v>1</v>
      </c>
    </row>
    <row r="216" spans="1:34" ht="12.4" customHeight="1" x14ac:dyDescent="0.25">
      <c r="A216" s="30">
        <v>4</v>
      </c>
      <c r="B216" s="30">
        <v>2</v>
      </c>
      <c r="C216" s="30">
        <v>2</v>
      </c>
      <c r="D216" s="274"/>
      <c r="E216" s="50" t="s">
        <v>38</v>
      </c>
      <c r="F216" s="179" t="s">
        <v>268</v>
      </c>
      <c r="G216" s="57" t="s">
        <v>21</v>
      </c>
      <c r="H216" s="57" t="s">
        <v>22</v>
      </c>
      <c r="I216" s="57" t="s">
        <v>40</v>
      </c>
      <c r="J216" s="298">
        <v>0.2</v>
      </c>
      <c r="K216" s="298">
        <v>0.2</v>
      </c>
      <c r="L216" s="298">
        <v>0.4</v>
      </c>
      <c r="M216" s="298">
        <v>0.6</v>
      </c>
      <c r="N216" s="298">
        <v>0.8</v>
      </c>
      <c r="O216" s="298">
        <v>1</v>
      </c>
      <c r="P216" s="298">
        <v>1</v>
      </c>
    </row>
    <row r="217" spans="1:34" s="173" customFormat="1" ht="12.4" customHeight="1" x14ac:dyDescent="0.25">
      <c r="A217" s="119">
        <v>4</v>
      </c>
      <c r="B217" s="119">
        <v>2</v>
      </c>
      <c r="C217" s="119">
        <v>3</v>
      </c>
      <c r="D217" s="287" t="s">
        <v>269</v>
      </c>
      <c r="E217" s="120" t="s">
        <v>253</v>
      </c>
      <c r="F217" s="121" t="s">
        <v>270</v>
      </c>
      <c r="G217" s="119"/>
      <c r="H217" s="119"/>
      <c r="I217" s="119"/>
      <c r="J217" s="119"/>
      <c r="K217" s="122"/>
      <c r="L217" s="122"/>
      <c r="M217" s="122"/>
      <c r="N217" s="122"/>
      <c r="O217" s="122"/>
      <c r="P217" s="122"/>
      <c r="Q217" s="174"/>
      <c r="R217" s="174"/>
      <c r="S217" s="174"/>
      <c r="T217" s="174"/>
      <c r="U217" s="174"/>
      <c r="V217" s="174"/>
      <c r="W217" s="174"/>
      <c r="X217" s="174"/>
      <c r="Y217" s="174"/>
      <c r="Z217" s="174"/>
      <c r="AA217" s="174"/>
      <c r="AB217" s="174"/>
      <c r="AC217" s="174"/>
      <c r="AD217" s="174"/>
      <c r="AE217" s="174"/>
      <c r="AF217" s="174"/>
      <c r="AG217" s="174"/>
      <c r="AH217" s="174"/>
    </row>
    <row r="218" spans="1:34" ht="12.4" customHeight="1" x14ac:dyDescent="0.25">
      <c r="A218" s="30">
        <v>4</v>
      </c>
      <c r="B218" s="30">
        <v>2</v>
      </c>
      <c r="C218" s="30">
        <v>3</v>
      </c>
      <c r="D218" s="274"/>
      <c r="E218" s="50" t="s">
        <v>38</v>
      </c>
      <c r="F218" s="54" t="s">
        <v>649</v>
      </c>
      <c r="G218" s="57" t="s">
        <v>17</v>
      </c>
      <c r="H218" s="57" t="s">
        <v>18</v>
      </c>
      <c r="I218" s="57" t="s">
        <v>40</v>
      </c>
      <c r="J218" s="60">
        <v>0</v>
      </c>
      <c r="K218" s="60">
        <v>0</v>
      </c>
      <c r="L218" s="60">
        <v>0</v>
      </c>
      <c r="M218" s="60">
        <v>0</v>
      </c>
      <c r="N218" s="60">
        <v>1</v>
      </c>
      <c r="O218" s="60">
        <v>1</v>
      </c>
      <c r="P218" s="60">
        <v>1</v>
      </c>
    </row>
    <row r="219" spans="1:34" ht="12.4" customHeight="1" x14ac:dyDescent="0.25">
      <c r="A219" s="30">
        <v>4</v>
      </c>
      <c r="B219" s="30">
        <v>2</v>
      </c>
      <c r="C219" s="30">
        <v>3</v>
      </c>
      <c r="D219" s="274"/>
      <c r="E219" s="50" t="s">
        <v>38</v>
      </c>
      <c r="F219" s="54" t="s">
        <v>650</v>
      </c>
      <c r="G219" s="57" t="s">
        <v>17</v>
      </c>
      <c r="H219" s="57" t="s">
        <v>22</v>
      </c>
      <c r="I219" s="57" t="s">
        <v>40</v>
      </c>
      <c r="J219" s="161">
        <v>0</v>
      </c>
      <c r="K219" s="140">
        <v>0.1</v>
      </c>
      <c r="L219" s="140">
        <v>0.25</v>
      </c>
      <c r="M219" s="140">
        <v>0.5</v>
      </c>
      <c r="N219" s="140">
        <v>0.85</v>
      </c>
      <c r="O219" s="140">
        <v>1</v>
      </c>
      <c r="P219" s="140">
        <v>1</v>
      </c>
    </row>
    <row r="220" spans="1:34" ht="12.4" customHeight="1" x14ac:dyDescent="0.25">
      <c r="A220" s="119">
        <v>4</v>
      </c>
      <c r="B220" s="119">
        <v>2</v>
      </c>
      <c r="C220" s="119">
        <v>4</v>
      </c>
      <c r="D220" s="287" t="s">
        <v>42</v>
      </c>
      <c r="E220" s="120" t="s">
        <v>2</v>
      </c>
      <c r="F220" s="121" t="s">
        <v>274</v>
      </c>
      <c r="G220" s="119"/>
      <c r="H220" s="119"/>
      <c r="I220" s="119"/>
      <c r="J220" s="119"/>
      <c r="K220" s="122"/>
      <c r="L220" s="122"/>
      <c r="M220" s="122"/>
      <c r="N220" s="122"/>
      <c r="O220" s="122"/>
      <c r="P220" s="122"/>
    </row>
    <row r="221" spans="1:34" ht="12.4" customHeight="1" x14ac:dyDescent="0.25">
      <c r="A221" s="30">
        <v>4</v>
      </c>
      <c r="B221" s="30">
        <v>2</v>
      </c>
      <c r="C221" s="30">
        <v>4</v>
      </c>
      <c r="D221" s="274"/>
      <c r="E221" s="50" t="s">
        <v>38</v>
      </c>
      <c r="F221" s="54" t="s">
        <v>275</v>
      </c>
      <c r="G221" s="57" t="s">
        <v>17</v>
      </c>
      <c r="H221" s="57" t="s">
        <v>22</v>
      </c>
      <c r="I221" s="57" t="s">
        <v>30</v>
      </c>
      <c r="J221" s="161">
        <v>0</v>
      </c>
      <c r="K221" s="140">
        <v>0.7</v>
      </c>
      <c r="L221" s="140">
        <v>0.8</v>
      </c>
      <c r="M221" s="140">
        <v>0.9</v>
      </c>
      <c r="N221" s="140">
        <v>0.9</v>
      </c>
      <c r="O221" s="140">
        <v>0</v>
      </c>
      <c r="P221" s="140">
        <v>0.9</v>
      </c>
    </row>
    <row r="222" spans="1:34" ht="12.4" customHeight="1" x14ac:dyDescent="0.25">
      <c r="A222" s="30">
        <v>4</v>
      </c>
      <c r="B222" s="30">
        <v>2</v>
      </c>
      <c r="C222" s="30">
        <v>4</v>
      </c>
      <c r="D222" s="274"/>
      <c r="E222" s="50" t="s">
        <v>38</v>
      </c>
      <c r="F222" s="179" t="s">
        <v>276</v>
      </c>
      <c r="G222" s="57" t="s">
        <v>17</v>
      </c>
      <c r="H222" s="57" t="s">
        <v>18</v>
      </c>
      <c r="I222" s="57" t="s">
        <v>40</v>
      </c>
      <c r="J222" s="60">
        <v>0</v>
      </c>
      <c r="K222" s="60">
        <v>0</v>
      </c>
      <c r="L222" s="60">
        <v>6</v>
      </c>
      <c r="M222" s="60">
        <v>12</v>
      </c>
      <c r="N222" s="60">
        <v>18</v>
      </c>
      <c r="O222" s="60">
        <v>18</v>
      </c>
      <c r="P222" s="60">
        <v>18</v>
      </c>
    </row>
    <row r="223" spans="1:34" ht="12.4" customHeight="1" x14ac:dyDescent="0.25">
      <c r="A223" s="30">
        <v>4</v>
      </c>
      <c r="B223" s="30">
        <v>2</v>
      </c>
      <c r="C223" s="30">
        <v>4</v>
      </c>
      <c r="D223" s="274"/>
      <c r="E223" s="50" t="s">
        <v>38</v>
      </c>
      <c r="F223" s="54" t="s">
        <v>277</v>
      </c>
      <c r="G223" s="57" t="s">
        <v>17</v>
      </c>
      <c r="H223" s="57" t="s">
        <v>22</v>
      </c>
      <c r="I223" s="57" t="s">
        <v>40</v>
      </c>
      <c r="J223" s="161">
        <v>0</v>
      </c>
      <c r="K223" s="161">
        <v>0.1</v>
      </c>
      <c r="L223" s="161">
        <f>K223+30%</f>
        <v>0.4</v>
      </c>
      <c r="M223" s="161">
        <f>L223+30%</f>
        <v>0.7</v>
      </c>
      <c r="N223" s="161">
        <f>M223+30%</f>
        <v>1</v>
      </c>
      <c r="O223" s="161">
        <v>1</v>
      </c>
      <c r="P223" s="161">
        <v>1</v>
      </c>
    </row>
    <row r="224" spans="1:34" ht="12.4" customHeight="1" x14ac:dyDescent="0.25">
      <c r="A224" s="27"/>
      <c r="B224" s="27"/>
      <c r="C224" s="27"/>
      <c r="D224" s="27"/>
      <c r="E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</row>
    <row r="226" spans="6:6" x14ac:dyDescent="0.2">
      <c r="F226" s="306"/>
    </row>
    <row r="227" spans="6:6" x14ac:dyDescent="0.2">
      <c r="F227" s="306"/>
    </row>
    <row r="228" spans="6:6" x14ac:dyDescent="0.2">
      <c r="F228" s="306"/>
    </row>
    <row r="229" spans="6:6" x14ac:dyDescent="0.2">
      <c r="F229" s="306"/>
    </row>
  </sheetData>
  <protectedRanges>
    <protectedRange algorithmName="SHA-512" hashValue="THF5kL+QVwGqfEvAGLNGAdVHFzYHFxDYxuxhF8zGJ+WsV/akkN+3jHx4892hF/cCpllFRQZpOz9QCz6LaBLXXQ==" saltValue="55UmbU92hd+Rx+5x4aQbBw==" spinCount="100000" sqref="J17:P17 K18" name="Rango1_3_1_1_2_1_1"/>
    <protectedRange algorithmName="SHA-512" hashValue="THF5kL+QVwGqfEvAGLNGAdVHFzYHFxDYxuxhF8zGJ+WsV/akkN+3jHx4892hF/cCpllFRQZpOz9QCz6LaBLXXQ==" saltValue="55UmbU92hd+Rx+5x4aQbBw==" spinCount="100000" sqref="H17" name="Rango1_2_1"/>
    <protectedRange algorithmName="SHA-512" hashValue="THF5kL+QVwGqfEvAGLNGAdVHFzYHFxDYxuxhF8zGJ+WsV/akkN+3jHx4892hF/cCpllFRQZpOz9QCz6LaBLXXQ==" saltValue="55UmbU92hd+Rx+5x4aQbBw==" spinCount="100000" sqref="K25:P25 J48:P48 J14 J20:P20 H24:H25 H20:H22 J4:P4 H4 H31 K32:P33 H11:H12 J18 J11:P13 L18:P18" name="Rango1_3_1_1"/>
  </protectedRanges>
  <autoFilter ref="A2:P223" xr:uid="{00000000-0009-0000-0000-000000000000}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F245D-FEFD-43D3-84E4-130B926C875D}">
  <dimension ref="A1:AN257"/>
  <sheetViews>
    <sheetView zoomScale="140" zoomScaleNormal="140" workbookViewId="0">
      <pane ySplit="3" topLeftCell="A93" activePane="bottomLeft" state="frozen"/>
      <selection activeCell="E1" sqref="E1"/>
      <selection pane="bottomLeft" activeCell="E1" sqref="E1"/>
    </sheetView>
  </sheetViews>
  <sheetFormatPr baseColWidth="10" defaultColWidth="11.42578125" defaultRowHeight="12.75" x14ac:dyDescent="0.25"/>
  <cols>
    <col min="1" max="3" width="2.42578125" style="127" customWidth="1"/>
    <col min="4" max="4" width="18.42578125" style="128" customWidth="1"/>
    <col min="5" max="5" width="6.28515625" style="128" customWidth="1"/>
    <col min="6" max="6" width="47.140625" style="27" customWidth="1"/>
    <col min="7" max="7" width="6.42578125" style="127" customWidth="1"/>
    <col min="8" max="8" width="8.28515625" style="127" customWidth="1"/>
    <col min="9" max="9" width="11.28515625" style="127" customWidth="1"/>
    <col min="10" max="10" width="9.42578125" style="127" customWidth="1"/>
    <col min="11" max="11" width="10.28515625" style="127" customWidth="1"/>
    <col min="12" max="16" width="10.28515625" style="127" bestFit="1" customWidth="1"/>
    <col min="17" max="17" width="9.28515625" style="129" customWidth="1"/>
    <col min="18" max="22" width="23" style="130" customWidth="1"/>
    <col min="23" max="16384" width="11.42578125" style="27"/>
  </cols>
  <sheetData>
    <row r="1" spans="1:22" s="21" customFormat="1" ht="38.65" customHeight="1" x14ac:dyDescent="0.25">
      <c r="A1" s="15" t="s">
        <v>0</v>
      </c>
      <c r="B1" s="15" t="s">
        <v>1</v>
      </c>
      <c r="C1" s="15" t="s">
        <v>2</v>
      </c>
      <c r="D1" s="16"/>
      <c r="E1" s="16"/>
      <c r="F1" s="17"/>
      <c r="G1" s="17" t="s">
        <v>4</v>
      </c>
      <c r="H1" s="18" t="s">
        <v>5</v>
      </c>
      <c r="I1" s="18" t="s">
        <v>6</v>
      </c>
      <c r="J1" s="18" t="s">
        <v>7</v>
      </c>
      <c r="K1" s="19" t="s">
        <v>8</v>
      </c>
      <c r="L1" s="19" t="s">
        <v>9</v>
      </c>
      <c r="M1" s="19" t="s">
        <v>10</v>
      </c>
      <c r="N1" s="19" t="s">
        <v>11</v>
      </c>
      <c r="O1" s="19" t="s">
        <v>12</v>
      </c>
      <c r="P1" s="19" t="s">
        <v>13</v>
      </c>
      <c r="Q1" s="20" t="s">
        <v>278</v>
      </c>
      <c r="R1" s="18" t="s">
        <v>279</v>
      </c>
      <c r="S1" s="18" t="s">
        <v>280</v>
      </c>
      <c r="T1" s="18" t="s">
        <v>281</v>
      </c>
      <c r="U1" s="18" t="s">
        <v>282</v>
      </c>
      <c r="V1" s="18" t="s">
        <v>283</v>
      </c>
    </row>
    <row r="2" spans="1:22" ht="12.4" customHeight="1" x14ac:dyDescent="0.25">
      <c r="A2" s="22"/>
      <c r="B2" s="22"/>
      <c r="C2" s="22"/>
      <c r="D2" s="23"/>
      <c r="E2" s="23"/>
      <c r="F2" s="24"/>
      <c r="G2" s="131"/>
      <c r="H2" s="25"/>
      <c r="I2" s="25"/>
      <c r="J2" s="25"/>
      <c r="K2" s="25"/>
      <c r="L2" s="25"/>
      <c r="M2" s="25"/>
      <c r="N2" s="25"/>
      <c r="O2" s="25"/>
      <c r="P2" s="25"/>
      <c r="Q2" s="26"/>
      <c r="R2" s="24" t="e">
        <f>+SUBTOTAL(9,R4:R1048576)</f>
        <v>#REF!</v>
      </c>
      <c r="S2" s="24" t="e">
        <f>+SUBTOTAL(9,S4:S1048576)</f>
        <v>#REF!</v>
      </c>
      <c r="T2" s="24" t="e">
        <f>+SUBTOTAL(9,T4:T1048576)</f>
        <v>#REF!</v>
      </c>
      <c r="U2" s="24" t="e">
        <f>+SUBTOTAL(9,U4:U1048576)</f>
        <v>#REF!</v>
      </c>
      <c r="V2" s="24" t="e">
        <f>+SUBTOTAL(9,V4:V1048576)</f>
        <v>#REF!</v>
      </c>
    </row>
    <row r="3" spans="1:22" ht="12.4" customHeight="1" x14ac:dyDescent="0.25">
      <c r="A3" s="22"/>
      <c r="B3" s="22"/>
      <c r="C3" s="22"/>
      <c r="D3" s="23"/>
      <c r="E3" s="23"/>
      <c r="F3" s="28"/>
      <c r="G3" s="29"/>
      <c r="H3" s="29"/>
      <c r="I3" s="29"/>
      <c r="J3" s="29"/>
      <c r="K3" s="30"/>
      <c r="L3" s="30"/>
      <c r="M3" s="30"/>
      <c r="N3" s="30"/>
      <c r="O3" s="30"/>
      <c r="P3" s="30"/>
      <c r="Q3" s="26"/>
      <c r="R3" s="31"/>
      <c r="S3" s="31"/>
      <c r="T3" s="31"/>
      <c r="U3" s="31"/>
      <c r="V3" s="31"/>
    </row>
    <row r="4" spans="1:22" ht="12.4" customHeight="1" x14ac:dyDescent="0.25">
      <c r="A4" s="32">
        <v>1</v>
      </c>
      <c r="B4" s="32">
        <v>0</v>
      </c>
      <c r="C4" s="32">
        <v>0</v>
      </c>
      <c r="D4" s="33" t="s">
        <v>0</v>
      </c>
      <c r="E4" s="33" t="s">
        <v>3</v>
      </c>
      <c r="F4" s="162" t="s">
        <v>14</v>
      </c>
      <c r="G4" s="132"/>
      <c r="H4" s="32"/>
      <c r="I4" s="32"/>
      <c r="J4" s="32"/>
      <c r="K4" s="34"/>
      <c r="L4" s="34"/>
      <c r="M4" s="34"/>
      <c r="N4" s="34"/>
      <c r="O4" s="34"/>
      <c r="P4" s="34"/>
      <c r="Q4" s="35"/>
      <c r="R4" s="36" t="e">
        <f>+R5+R34+#REF!+#REF!</f>
        <v>#REF!</v>
      </c>
      <c r="S4" s="36" t="e">
        <f>+S5+S34+#REF!+#REF!</f>
        <v>#REF!</v>
      </c>
      <c r="T4" s="36" t="e">
        <f>+T5+T34+#REF!+#REF!</f>
        <v>#REF!</v>
      </c>
      <c r="U4" s="36" t="e">
        <f>+U5+U34+#REF!+#REF!</f>
        <v>#REF!</v>
      </c>
      <c r="V4" s="36" t="e">
        <f>+V5+V34+#REF!+#REF!</f>
        <v>#REF!</v>
      </c>
    </row>
    <row r="5" spans="1:22" ht="12.4" customHeight="1" x14ac:dyDescent="0.25">
      <c r="A5" s="37">
        <v>1</v>
      </c>
      <c r="B5" s="37">
        <v>1</v>
      </c>
      <c r="C5" s="37">
        <v>0</v>
      </c>
      <c r="D5" s="38" t="s">
        <v>1</v>
      </c>
      <c r="E5" s="38"/>
      <c r="F5" s="39" t="s">
        <v>27</v>
      </c>
      <c r="G5" s="37"/>
      <c r="H5" s="37"/>
      <c r="I5" s="37"/>
      <c r="J5" s="37"/>
      <c r="K5" s="40"/>
      <c r="L5" s="40"/>
      <c r="M5" s="40"/>
      <c r="N5" s="40"/>
      <c r="O5" s="40"/>
      <c r="P5" s="40"/>
      <c r="Q5" s="41"/>
      <c r="R5" s="42" t="e">
        <f>+R7+R9+R12+R17+R19+R21+R26</f>
        <v>#REF!</v>
      </c>
      <c r="S5" s="42" t="e">
        <f>+S7+S9+S12+S17+S19+S21+S26</f>
        <v>#REF!</v>
      </c>
      <c r="T5" s="42" t="e">
        <f>+T7+T9+T12+T17+T19+T21+T26</f>
        <v>#REF!</v>
      </c>
      <c r="U5" s="42" t="e">
        <f>+U7+U9+U12+U17+U19+U21+U26</f>
        <v>#REF!</v>
      </c>
      <c r="V5" s="42" t="e">
        <f>+V7+V9+V12+V17+V19+V21+V26</f>
        <v>#REF!</v>
      </c>
    </row>
    <row r="6" spans="1:22" s="21" customFormat="1" ht="12.4" customHeight="1" x14ac:dyDescent="0.25">
      <c r="A6" s="29">
        <v>1</v>
      </c>
      <c r="B6" s="29">
        <v>1</v>
      </c>
      <c r="C6" s="29">
        <v>2</v>
      </c>
      <c r="D6" s="50" t="s">
        <v>28</v>
      </c>
      <c r="E6" s="50"/>
      <c r="F6" s="54" t="s">
        <v>284</v>
      </c>
      <c r="G6" s="57" t="s">
        <v>17</v>
      </c>
      <c r="H6" s="57" t="s">
        <v>18</v>
      </c>
      <c r="I6" s="57" t="s">
        <v>19</v>
      </c>
      <c r="J6" s="57">
        <v>9</v>
      </c>
      <c r="K6" s="60">
        <f>8</f>
        <v>8</v>
      </c>
      <c r="L6" s="60">
        <f>21+8</f>
        <v>29</v>
      </c>
      <c r="M6" s="60">
        <f>29+12</f>
        <v>41</v>
      </c>
      <c r="N6" s="60">
        <f>41+2</f>
        <v>43</v>
      </c>
      <c r="O6" s="60">
        <f>43</f>
        <v>43</v>
      </c>
      <c r="P6" s="60">
        <f>43</f>
        <v>43</v>
      </c>
      <c r="Q6" s="49"/>
      <c r="R6" s="24" t="e">
        <f>+SUM(R7:R9)</f>
        <v>#REF!</v>
      </c>
      <c r="S6" s="24" t="e">
        <f>+SUM(S7:S9)</f>
        <v>#REF!</v>
      </c>
      <c r="T6" s="24" t="e">
        <f>+SUM(T7:T9)</f>
        <v>#REF!</v>
      </c>
      <c r="U6" s="24" t="e">
        <f>+SUM(U7:U9)</f>
        <v>#REF!</v>
      </c>
      <c r="V6" s="24" t="e">
        <f>+SUM(V7:V9)</f>
        <v>#REF!</v>
      </c>
    </row>
    <row r="7" spans="1:22" s="164" customFormat="1" ht="12.4" customHeight="1" x14ac:dyDescent="0.25">
      <c r="A7" s="43">
        <v>1</v>
      </c>
      <c r="B7" s="43">
        <v>1</v>
      </c>
      <c r="C7" s="43">
        <v>1</v>
      </c>
      <c r="D7" s="44" t="s">
        <v>2</v>
      </c>
      <c r="E7" s="44"/>
      <c r="F7" s="45" t="s">
        <v>37</v>
      </c>
      <c r="G7" s="43"/>
      <c r="H7" s="43"/>
      <c r="I7" s="43"/>
      <c r="J7" s="43"/>
      <c r="K7" s="46"/>
      <c r="L7" s="46"/>
      <c r="M7" s="46"/>
      <c r="N7" s="46"/>
      <c r="O7" s="46"/>
      <c r="P7" s="46"/>
      <c r="Q7" s="47"/>
      <c r="R7" s="48" t="e">
        <f>+R8+#REF!</f>
        <v>#REF!</v>
      </c>
      <c r="S7" s="48" t="e">
        <f>+S8+#REF!</f>
        <v>#REF!</v>
      </c>
      <c r="T7" s="48" t="e">
        <f>+T8+#REF!</f>
        <v>#REF!</v>
      </c>
      <c r="U7" s="48" t="e">
        <f>+U8+#REF!</f>
        <v>#REF!</v>
      </c>
      <c r="V7" s="48" t="e">
        <f>+V8+#REF!</f>
        <v>#REF!</v>
      </c>
    </row>
    <row r="8" spans="1:22" s="21" customFormat="1" ht="12.4" customHeight="1" x14ac:dyDescent="0.25">
      <c r="A8" s="29">
        <v>1</v>
      </c>
      <c r="B8" s="29">
        <v>1</v>
      </c>
      <c r="C8" s="29">
        <v>1</v>
      </c>
      <c r="D8" s="50" t="s">
        <v>38</v>
      </c>
      <c r="E8" s="50"/>
      <c r="F8" s="54" t="s">
        <v>285</v>
      </c>
      <c r="G8" s="57" t="s">
        <v>21</v>
      </c>
      <c r="H8" s="55" t="s">
        <v>18</v>
      </c>
      <c r="I8" s="57" t="s">
        <v>40</v>
      </c>
      <c r="J8" s="51">
        <v>0</v>
      </c>
      <c r="K8" s="51">
        <v>0</v>
      </c>
      <c r="L8" s="51">
        <v>1</v>
      </c>
      <c r="M8" s="51">
        <v>1</v>
      </c>
      <c r="N8" s="51">
        <f>1+1</f>
        <v>2</v>
      </c>
      <c r="O8" s="51">
        <v>2</v>
      </c>
      <c r="P8" s="51">
        <v>2</v>
      </c>
      <c r="Q8" s="49"/>
      <c r="R8" s="24" t="e">
        <f>+#REF!</f>
        <v>#REF!</v>
      </c>
      <c r="S8" s="24" t="e">
        <f>+#REF!</f>
        <v>#REF!</v>
      </c>
      <c r="T8" s="24" t="e">
        <f>+#REF!</f>
        <v>#REF!</v>
      </c>
      <c r="U8" s="24" t="e">
        <f>+#REF!</f>
        <v>#REF!</v>
      </c>
      <c r="V8" s="24" t="e">
        <f>+#REF!</f>
        <v>#REF!</v>
      </c>
    </row>
    <row r="9" spans="1:22" ht="12.4" customHeight="1" x14ac:dyDescent="0.25">
      <c r="A9" s="43">
        <v>1</v>
      </c>
      <c r="B9" s="43">
        <v>1</v>
      </c>
      <c r="C9" s="43">
        <v>2</v>
      </c>
      <c r="D9" s="44" t="s">
        <v>2</v>
      </c>
      <c r="E9" s="44"/>
      <c r="F9" s="45" t="s">
        <v>286</v>
      </c>
      <c r="G9" s="43"/>
      <c r="H9" s="43"/>
      <c r="I9" s="43"/>
      <c r="J9" s="43"/>
      <c r="K9" s="62"/>
      <c r="L9" s="62"/>
      <c r="M9" s="62"/>
      <c r="N9" s="62"/>
      <c r="O9" s="62"/>
      <c r="P9" s="62"/>
      <c r="Q9" s="47"/>
      <c r="R9" s="48" t="e">
        <f>+R10+#REF!</f>
        <v>#REF!</v>
      </c>
      <c r="S9" s="48" t="e">
        <f>+S10+#REF!</f>
        <v>#REF!</v>
      </c>
      <c r="T9" s="48" t="e">
        <f>+T10+#REF!</f>
        <v>#REF!</v>
      </c>
      <c r="U9" s="48" t="e">
        <f>+U10+#REF!</f>
        <v>#REF!</v>
      </c>
      <c r="V9" s="48" t="e">
        <f>+V10+#REF!</f>
        <v>#REF!</v>
      </c>
    </row>
    <row r="10" spans="1:22" s="21" customFormat="1" ht="12.4" customHeight="1" x14ac:dyDescent="0.25">
      <c r="A10" s="29">
        <v>1</v>
      </c>
      <c r="B10" s="29">
        <v>1</v>
      </c>
      <c r="C10" s="29">
        <v>2</v>
      </c>
      <c r="D10" s="50" t="s">
        <v>38</v>
      </c>
      <c r="E10" s="50"/>
      <c r="F10" s="54" t="s">
        <v>287</v>
      </c>
      <c r="G10" s="57" t="s">
        <v>21</v>
      </c>
      <c r="H10" s="57" t="s">
        <v>18</v>
      </c>
      <c r="I10" s="57" t="s">
        <v>19</v>
      </c>
      <c r="J10" s="60">
        <v>15</v>
      </c>
      <c r="K10" s="60">
        <f>4</f>
        <v>4</v>
      </c>
      <c r="L10" s="60">
        <f>4+6</f>
        <v>10</v>
      </c>
      <c r="M10" s="60">
        <f>4+6</f>
        <v>10</v>
      </c>
      <c r="N10" s="60">
        <f>4+6</f>
        <v>10</v>
      </c>
      <c r="O10" s="60">
        <f>4+6</f>
        <v>10</v>
      </c>
      <c r="P10" s="60">
        <f>4+6</f>
        <v>10</v>
      </c>
      <c r="Q10" s="49"/>
      <c r="R10" s="24">
        <f>+SUM(R11:R11)</f>
        <v>13000000000</v>
      </c>
      <c r="S10" s="24">
        <f>+SUM(S11:S11)</f>
        <v>2975713075</v>
      </c>
      <c r="T10" s="24">
        <f>+SUM(T11:T11)</f>
        <v>3450000000</v>
      </c>
      <c r="U10" s="24">
        <f>+SUM(U11:U11)</f>
        <v>3650000000</v>
      </c>
      <c r="V10" s="24">
        <f>+SUM(V11:V11)</f>
        <v>2924286925</v>
      </c>
    </row>
    <row r="11" spans="1:22" ht="12.4" customHeight="1" x14ac:dyDescent="0.25">
      <c r="A11" s="30">
        <v>1</v>
      </c>
      <c r="B11" s="30">
        <v>1</v>
      </c>
      <c r="C11" s="30">
        <v>2</v>
      </c>
      <c r="D11" s="50" t="s">
        <v>38</v>
      </c>
      <c r="E11" s="50"/>
      <c r="F11" s="54" t="s">
        <v>288</v>
      </c>
      <c r="G11" s="57" t="s">
        <v>21</v>
      </c>
      <c r="H11" s="57" t="s">
        <v>18</v>
      </c>
      <c r="I11" s="156" t="s">
        <v>40</v>
      </c>
      <c r="J11" s="51">
        <v>0</v>
      </c>
      <c r="K11" s="51">
        <v>34</v>
      </c>
      <c r="L11" s="51">
        <v>35</v>
      </c>
      <c r="M11" s="51">
        <v>40</v>
      </c>
      <c r="N11" s="51">
        <v>45</v>
      </c>
      <c r="O11" s="51">
        <v>45</v>
      </c>
      <c r="P11" s="51">
        <f>O11</f>
        <v>45</v>
      </c>
      <c r="Q11" s="61"/>
      <c r="R11" s="53">
        <f>+SUM(S11:V11)</f>
        <v>13000000000</v>
      </c>
      <c r="S11" s="53">
        <v>2975713075</v>
      </c>
      <c r="T11" s="59">
        <v>3450000000</v>
      </c>
      <c r="U11" s="59">
        <v>3650000000</v>
      </c>
      <c r="V11" s="59">
        <v>2924286925</v>
      </c>
    </row>
    <row r="12" spans="1:22" s="164" customFormat="1" ht="12.4" customHeight="1" x14ac:dyDescent="0.25">
      <c r="A12" s="43">
        <v>1</v>
      </c>
      <c r="B12" s="43">
        <v>1</v>
      </c>
      <c r="C12" s="43">
        <v>3</v>
      </c>
      <c r="D12" s="44" t="s">
        <v>2</v>
      </c>
      <c r="E12" s="44"/>
      <c r="F12" s="45" t="s">
        <v>289</v>
      </c>
      <c r="G12" s="43"/>
      <c r="H12" s="43"/>
      <c r="I12" s="43"/>
      <c r="J12" s="43"/>
      <c r="K12" s="62"/>
      <c r="L12" s="62"/>
      <c r="M12" s="62"/>
      <c r="N12" s="62"/>
      <c r="O12" s="62"/>
      <c r="P12" s="62"/>
      <c r="Q12" s="47"/>
      <c r="R12" s="48" t="e">
        <f>+R13+#REF!+#REF!+#REF!</f>
        <v>#REF!</v>
      </c>
      <c r="S12" s="48" t="e">
        <f>+S13+#REF!+#REF!+#REF!</f>
        <v>#REF!</v>
      </c>
      <c r="T12" s="48" t="e">
        <f>+T13+#REF!+#REF!+#REF!</f>
        <v>#REF!</v>
      </c>
      <c r="U12" s="48" t="e">
        <f>+U13+#REF!+#REF!+#REF!</f>
        <v>#REF!</v>
      </c>
      <c r="V12" s="48" t="e">
        <f>+V13+#REF!+#REF!+#REF!</f>
        <v>#REF!</v>
      </c>
    </row>
    <row r="13" spans="1:22" s="21" customFormat="1" ht="12.4" customHeight="1" x14ac:dyDescent="0.25">
      <c r="A13" s="29">
        <v>1</v>
      </c>
      <c r="B13" s="29">
        <v>1</v>
      </c>
      <c r="C13" s="29">
        <v>3</v>
      </c>
      <c r="D13" s="50" t="s">
        <v>38</v>
      </c>
      <c r="E13" s="50"/>
      <c r="F13" s="54" t="s">
        <v>290</v>
      </c>
      <c r="G13" s="57" t="s">
        <v>21</v>
      </c>
      <c r="H13" s="57" t="s">
        <v>18</v>
      </c>
      <c r="I13" s="57" t="s">
        <v>19</v>
      </c>
      <c r="J13" s="60">
        <v>8</v>
      </c>
      <c r="K13" s="60">
        <v>8</v>
      </c>
      <c r="L13" s="60">
        <v>9</v>
      </c>
      <c r="M13" s="60">
        <v>10</v>
      </c>
      <c r="N13" s="60">
        <v>10</v>
      </c>
      <c r="O13" s="60">
        <v>10</v>
      </c>
      <c r="P13" s="60">
        <v>10</v>
      </c>
      <c r="Q13" s="49"/>
      <c r="R13" s="24">
        <f>+SUM(R14:R16)</f>
        <v>13192297686</v>
      </c>
      <c r="S13" s="24">
        <f>+SUM(S14:S16)</f>
        <v>2842533438</v>
      </c>
      <c r="T13" s="24">
        <f>+SUM(T14:T16)</f>
        <v>3126886782</v>
      </c>
      <c r="U13" s="24">
        <f>+SUM(U14:U16)</f>
        <v>3439465460</v>
      </c>
      <c r="V13" s="24">
        <f>+SUM(V14:V16)</f>
        <v>3783412006</v>
      </c>
    </row>
    <row r="14" spans="1:22" ht="12.4" customHeight="1" x14ac:dyDescent="0.25">
      <c r="A14" s="30">
        <v>1</v>
      </c>
      <c r="B14" s="30">
        <v>1</v>
      </c>
      <c r="C14" s="30">
        <v>3</v>
      </c>
      <c r="D14" s="136" t="s">
        <v>28</v>
      </c>
      <c r="E14" s="136"/>
      <c r="F14" s="54" t="s">
        <v>34</v>
      </c>
      <c r="G14" s="57" t="s">
        <v>21</v>
      </c>
      <c r="H14" s="57" t="s">
        <v>18</v>
      </c>
      <c r="I14" s="57" t="s">
        <v>23</v>
      </c>
      <c r="J14" s="60">
        <v>700</v>
      </c>
      <c r="K14" s="60">
        <v>700</v>
      </c>
      <c r="L14" s="60">
        <v>700</v>
      </c>
      <c r="M14" s="60">
        <v>700</v>
      </c>
      <c r="N14" s="60">
        <v>700</v>
      </c>
      <c r="O14" s="60">
        <v>700</v>
      </c>
      <c r="P14" s="60">
        <v>700</v>
      </c>
      <c r="Q14" s="61"/>
      <c r="R14" s="53">
        <f t="shared" ref="R14:R16" si="0">+SUM(S14:V14)</f>
        <v>7423438558</v>
      </c>
      <c r="S14" s="53">
        <v>1599512725</v>
      </c>
      <c r="T14" s="59">
        <v>1759563998</v>
      </c>
      <c r="U14" s="59">
        <v>1935410398</v>
      </c>
      <c r="V14" s="59">
        <v>2128951437</v>
      </c>
    </row>
    <row r="15" spans="1:22" ht="12.4" customHeight="1" x14ac:dyDescent="0.25">
      <c r="A15" s="30">
        <v>1</v>
      </c>
      <c r="B15" s="30">
        <v>1</v>
      </c>
      <c r="C15" s="30">
        <v>3</v>
      </c>
      <c r="D15" s="136" t="s">
        <v>28</v>
      </c>
      <c r="E15" s="136"/>
      <c r="F15" s="54" t="s">
        <v>291</v>
      </c>
      <c r="G15" s="57" t="s">
        <v>21</v>
      </c>
      <c r="H15" s="57" t="s">
        <v>18</v>
      </c>
      <c r="I15" s="57" t="s">
        <v>23</v>
      </c>
      <c r="J15" s="60">
        <v>148</v>
      </c>
      <c r="K15" s="60">
        <v>148</v>
      </c>
      <c r="L15" s="60">
        <v>148</v>
      </c>
      <c r="M15" s="60">
        <v>148</v>
      </c>
      <c r="N15" s="60">
        <v>148</v>
      </c>
      <c r="O15" s="60">
        <v>148</v>
      </c>
      <c r="P15" s="60">
        <v>148</v>
      </c>
      <c r="Q15" s="61"/>
      <c r="R15" s="53">
        <f t="shared" si="0"/>
        <v>3927178227</v>
      </c>
      <c r="S15" s="53">
        <v>846192249</v>
      </c>
      <c r="T15" s="59">
        <v>930811474</v>
      </c>
      <c r="U15" s="59">
        <v>1023892621</v>
      </c>
      <c r="V15" s="59">
        <v>1126281883</v>
      </c>
    </row>
    <row r="16" spans="1:22" ht="12.4" customHeight="1" x14ac:dyDescent="0.25">
      <c r="A16" s="30">
        <v>1</v>
      </c>
      <c r="B16" s="30">
        <v>1</v>
      </c>
      <c r="C16" s="30">
        <v>3</v>
      </c>
      <c r="D16" s="136" t="s">
        <v>28</v>
      </c>
      <c r="E16" s="136"/>
      <c r="F16" s="54" t="s">
        <v>32</v>
      </c>
      <c r="G16" s="57" t="s">
        <v>21</v>
      </c>
      <c r="H16" s="57" t="s">
        <v>18</v>
      </c>
      <c r="I16" s="57" t="s">
        <v>23</v>
      </c>
      <c r="J16" s="60">
        <v>3.8</v>
      </c>
      <c r="K16" s="60">
        <v>3.8</v>
      </c>
      <c r="L16" s="60">
        <v>3.8</v>
      </c>
      <c r="M16" s="60">
        <v>3.8</v>
      </c>
      <c r="N16" s="60">
        <v>3.8</v>
      </c>
      <c r="O16" s="60">
        <v>3.8</v>
      </c>
      <c r="P16" s="60">
        <v>3.8</v>
      </c>
      <c r="Q16" s="61"/>
      <c r="R16" s="53">
        <f t="shared" si="0"/>
        <v>1841680901</v>
      </c>
      <c r="S16" s="53">
        <v>396828464</v>
      </c>
      <c r="T16" s="59">
        <v>436511310</v>
      </c>
      <c r="U16" s="59">
        <v>480162441</v>
      </c>
      <c r="V16" s="59">
        <v>528178686</v>
      </c>
    </row>
    <row r="17" spans="1:22" s="164" customFormat="1" ht="12.4" customHeight="1" x14ac:dyDescent="0.25">
      <c r="A17" s="43">
        <v>1</v>
      </c>
      <c r="B17" s="43">
        <v>1</v>
      </c>
      <c r="C17" s="43">
        <v>4</v>
      </c>
      <c r="D17" s="44" t="s">
        <v>2</v>
      </c>
      <c r="E17" s="44"/>
      <c r="F17" s="45" t="s">
        <v>292</v>
      </c>
      <c r="G17" s="43"/>
      <c r="H17" s="43"/>
      <c r="I17" s="43"/>
      <c r="J17" s="43"/>
      <c r="K17" s="62"/>
      <c r="L17" s="62"/>
      <c r="M17" s="62"/>
      <c r="N17" s="62"/>
      <c r="O17" s="62"/>
      <c r="P17" s="62"/>
      <c r="Q17" s="47"/>
      <c r="R17" s="48" t="e">
        <f>+R18+#REF!</f>
        <v>#REF!</v>
      </c>
      <c r="S17" s="48" t="e">
        <f>+S18+#REF!</f>
        <v>#REF!</v>
      </c>
      <c r="T17" s="48" t="e">
        <f>+T18+#REF!</f>
        <v>#REF!</v>
      </c>
      <c r="U17" s="48" t="e">
        <f>+U18+#REF!</f>
        <v>#REF!</v>
      </c>
      <c r="V17" s="48" t="e">
        <f>+V18+#REF!</f>
        <v>#REF!</v>
      </c>
    </row>
    <row r="18" spans="1:22" ht="12.4" customHeight="1" x14ac:dyDescent="0.25">
      <c r="A18" s="30">
        <v>1</v>
      </c>
      <c r="B18" s="30">
        <v>1</v>
      </c>
      <c r="C18" s="30">
        <v>4</v>
      </c>
      <c r="D18" s="50" t="s">
        <v>38</v>
      </c>
      <c r="E18" s="50"/>
      <c r="F18" s="54" t="s">
        <v>293</v>
      </c>
      <c r="G18" s="57" t="s">
        <v>17</v>
      </c>
      <c r="H18" s="57" t="s">
        <v>18</v>
      </c>
      <c r="I18" s="57" t="s">
        <v>40</v>
      </c>
      <c r="J18" s="60">
        <v>0</v>
      </c>
      <c r="K18" s="60">
        <v>1</v>
      </c>
      <c r="L18" s="60">
        <v>2</v>
      </c>
      <c r="M18" s="60">
        <v>2</v>
      </c>
      <c r="N18" s="60">
        <v>2</v>
      </c>
      <c r="O18" s="60">
        <v>2</v>
      </c>
      <c r="P18" s="60">
        <v>2</v>
      </c>
      <c r="Q18" s="61"/>
      <c r="R18" s="59" t="e">
        <f>+SUM(#REF!)</f>
        <v>#REF!</v>
      </c>
      <c r="S18" s="59" t="e">
        <f>+SUM(#REF!)</f>
        <v>#REF!</v>
      </c>
      <c r="T18" s="59" t="e">
        <f>+SUM(#REF!)</f>
        <v>#REF!</v>
      </c>
      <c r="U18" s="59" t="e">
        <f>+SUM(#REF!)</f>
        <v>#REF!</v>
      </c>
      <c r="V18" s="59" t="e">
        <f>+SUM(#REF!)</f>
        <v>#REF!</v>
      </c>
    </row>
    <row r="19" spans="1:22" s="164" customFormat="1" ht="12.4" customHeight="1" x14ac:dyDescent="0.25">
      <c r="A19" s="43">
        <v>1</v>
      </c>
      <c r="B19" s="43">
        <v>1</v>
      </c>
      <c r="C19" s="43">
        <v>5</v>
      </c>
      <c r="D19" s="44" t="s">
        <v>2</v>
      </c>
      <c r="E19" s="44"/>
      <c r="F19" s="45" t="s">
        <v>294</v>
      </c>
      <c r="G19" s="43"/>
      <c r="H19" s="43"/>
      <c r="I19" s="43"/>
      <c r="J19" s="43"/>
      <c r="K19" s="62"/>
      <c r="L19" s="62"/>
      <c r="M19" s="62"/>
      <c r="N19" s="62"/>
      <c r="O19" s="62"/>
      <c r="P19" s="62"/>
      <c r="Q19" s="47"/>
      <c r="R19" s="48" t="e">
        <f>+#REF!</f>
        <v>#REF!</v>
      </c>
      <c r="S19" s="48" t="e">
        <f>+#REF!</f>
        <v>#REF!</v>
      </c>
      <c r="T19" s="48" t="e">
        <f>+#REF!</f>
        <v>#REF!</v>
      </c>
      <c r="U19" s="48" t="e">
        <f>+#REF!</f>
        <v>#REF!</v>
      </c>
      <c r="V19" s="48" t="e">
        <f>+#REF!</f>
        <v>#REF!</v>
      </c>
    </row>
    <row r="20" spans="1:22" ht="12.4" customHeight="1" x14ac:dyDescent="0.25">
      <c r="A20" s="30">
        <v>1</v>
      </c>
      <c r="B20" s="30">
        <v>1</v>
      </c>
      <c r="C20" s="30">
        <v>5</v>
      </c>
      <c r="D20" s="136" t="s">
        <v>28</v>
      </c>
      <c r="E20" s="136"/>
      <c r="F20" s="54" t="s">
        <v>29</v>
      </c>
      <c r="G20" s="57" t="s">
        <v>21</v>
      </c>
      <c r="H20" s="57" t="s">
        <v>22</v>
      </c>
      <c r="I20" s="156" t="s">
        <v>23</v>
      </c>
      <c r="J20" s="140">
        <v>0.84</v>
      </c>
      <c r="K20" s="140">
        <v>0.9</v>
      </c>
      <c r="L20" s="140">
        <v>0.9</v>
      </c>
      <c r="M20" s="140">
        <v>0.9</v>
      </c>
      <c r="N20" s="140">
        <v>0.9</v>
      </c>
      <c r="O20" s="140">
        <v>0.9</v>
      </c>
      <c r="P20" s="140">
        <v>0.9</v>
      </c>
      <c r="Q20" s="61"/>
      <c r="R20" s="53">
        <f t="shared" ref="R20" si="1">+SUM(S20:V20)</f>
        <v>10000000000</v>
      </c>
      <c r="S20" s="53">
        <v>6000000000</v>
      </c>
      <c r="T20" s="59">
        <v>2000000000</v>
      </c>
      <c r="U20" s="59">
        <v>1000000000</v>
      </c>
      <c r="V20" s="59">
        <v>1000000000</v>
      </c>
    </row>
    <row r="21" spans="1:22" ht="12.4" customHeight="1" x14ac:dyDescent="0.25">
      <c r="A21" s="43">
        <v>1</v>
      </c>
      <c r="B21" s="43">
        <v>1</v>
      </c>
      <c r="C21" s="43">
        <v>6</v>
      </c>
      <c r="D21" s="44" t="s">
        <v>2</v>
      </c>
      <c r="E21" s="44"/>
      <c r="F21" s="45" t="s">
        <v>295</v>
      </c>
      <c r="G21" s="43"/>
      <c r="H21" s="43"/>
      <c r="I21" s="43"/>
      <c r="J21" s="43"/>
      <c r="K21" s="62"/>
      <c r="L21" s="62"/>
      <c r="M21" s="62"/>
      <c r="N21" s="62"/>
      <c r="O21" s="62"/>
      <c r="P21" s="62"/>
      <c r="Q21" s="47"/>
      <c r="R21" s="48" t="e">
        <f>+#REF!</f>
        <v>#REF!</v>
      </c>
      <c r="S21" s="48" t="e">
        <f>+#REF!</f>
        <v>#REF!</v>
      </c>
      <c r="T21" s="48" t="e">
        <f>+#REF!</f>
        <v>#REF!</v>
      </c>
      <c r="U21" s="48" t="e">
        <f>+#REF!</f>
        <v>#REF!</v>
      </c>
      <c r="V21" s="48" t="e">
        <f>+#REF!</f>
        <v>#REF!</v>
      </c>
    </row>
    <row r="22" spans="1:22" ht="12.4" customHeight="1" x14ac:dyDescent="0.25">
      <c r="A22" s="30">
        <v>1</v>
      </c>
      <c r="B22" s="30">
        <v>1</v>
      </c>
      <c r="C22" s="30">
        <v>6</v>
      </c>
      <c r="D22" s="50" t="s">
        <v>38</v>
      </c>
      <c r="E22" s="50"/>
      <c r="F22" s="54" t="s">
        <v>296</v>
      </c>
      <c r="G22" s="57" t="s">
        <v>61</v>
      </c>
      <c r="H22" s="57" t="s">
        <v>18</v>
      </c>
      <c r="I22" s="57" t="s">
        <v>40</v>
      </c>
      <c r="J22" s="60">
        <v>0</v>
      </c>
      <c r="K22" s="60">
        <v>0</v>
      </c>
      <c r="L22" s="60">
        <v>1</v>
      </c>
      <c r="M22" s="60">
        <v>1</v>
      </c>
      <c r="N22" s="60">
        <v>1</v>
      </c>
      <c r="O22" s="60">
        <v>1</v>
      </c>
      <c r="P22" s="60">
        <v>1</v>
      </c>
      <c r="Q22" s="61"/>
      <c r="R22" s="53">
        <f t="shared" ref="R22:R25" si="2">+SUM(S22:V22)</f>
        <v>92471925</v>
      </c>
      <c r="S22" s="53">
        <v>19925000</v>
      </c>
      <c r="T22" s="59">
        <v>21917500</v>
      </c>
      <c r="U22" s="59">
        <v>24109250</v>
      </c>
      <c r="V22" s="59">
        <v>26520175</v>
      </c>
    </row>
    <row r="23" spans="1:22" ht="12.4" customHeight="1" x14ac:dyDescent="0.25">
      <c r="A23" s="30">
        <v>1</v>
      </c>
      <c r="B23" s="30">
        <v>1</v>
      </c>
      <c r="C23" s="30">
        <v>6</v>
      </c>
      <c r="D23" s="50" t="s">
        <v>38</v>
      </c>
      <c r="E23" s="50"/>
      <c r="F23" s="54" t="s">
        <v>297</v>
      </c>
      <c r="G23" s="57" t="s">
        <v>61</v>
      </c>
      <c r="H23" s="57" t="s">
        <v>18</v>
      </c>
      <c r="I23" s="57" t="s">
        <v>19</v>
      </c>
      <c r="J23" s="60">
        <v>2</v>
      </c>
      <c r="K23" s="60">
        <v>2</v>
      </c>
      <c r="L23" s="60">
        <v>4</v>
      </c>
      <c r="M23" s="60">
        <v>4</v>
      </c>
      <c r="N23" s="60">
        <v>4</v>
      </c>
      <c r="O23" s="60">
        <v>4</v>
      </c>
      <c r="P23" s="60">
        <v>4</v>
      </c>
      <c r="Q23" s="61"/>
      <c r="R23" s="53">
        <f t="shared" si="2"/>
        <v>270900339</v>
      </c>
      <c r="S23" s="53">
        <v>58512329</v>
      </c>
      <c r="T23" s="59">
        <v>64165562</v>
      </c>
      <c r="U23" s="59">
        <v>70582118</v>
      </c>
      <c r="V23" s="59">
        <v>77640330</v>
      </c>
    </row>
    <row r="24" spans="1:22" ht="12.4" customHeight="1" x14ac:dyDescent="0.25">
      <c r="A24" s="30">
        <v>1</v>
      </c>
      <c r="B24" s="30">
        <v>1</v>
      </c>
      <c r="C24" s="30">
        <v>6</v>
      </c>
      <c r="D24" s="136" t="s">
        <v>28</v>
      </c>
      <c r="E24" s="136"/>
      <c r="F24" s="54" t="s">
        <v>298</v>
      </c>
      <c r="G24" s="57" t="s">
        <v>21</v>
      </c>
      <c r="H24" s="57" t="s">
        <v>22</v>
      </c>
      <c r="I24" s="57" t="s">
        <v>23</v>
      </c>
      <c r="J24" s="140">
        <v>0.1</v>
      </c>
      <c r="K24" s="140">
        <v>0.1</v>
      </c>
      <c r="L24" s="140">
        <v>0.1</v>
      </c>
      <c r="M24" s="140">
        <v>0.1</v>
      </c>
      <c r="N24" s="140">
        <v>0.1</v>
      </c>
      <c r="O24" s="140">
        <v>0.1</v>
      </c>
      <c r="P24" s="140">
        <v>0.1</v>
      </c>
      <c r="Q24" s="61"/>
      <c r="R24" s="53">
        <f t="shared" si="2"/>
        <v>1073169825</v>
      </c>
      <c r="S24" s="53">
        <v>231236765</v>
      </c>
      <c r="T24" s="59">
        <v>254360441</v>
      </c>
      <c r="U24" s="59">
        <v>279796485</v>
      </c>
      <c r="V24" s="59">
        <v>307776134</v>
      </c>
    </row>
    <row r="25" spans="1:22" ht="12.4" customHeight="1" x14ac:dyDescent="0.25">
      <c r="A25" s="30">
        <v>1</v>
      </c>
      <c r="B25" s="30">
        <v>1</v>
      </c>
      <c r="C25" s="30">
        <v>6</v>
      </c>
      <c r="D25" s="136" t="s">
        <v>28</v>
      </c>
      <c r="E25" s="136"/>
      <c r="F25" s="54" t="s">
        <v>299</v>
      </c>
      <c r="G25" s="57" t="s">
        <v>61</v>
      </c>
      <c r="H25" s="57" t="s">
        <v>18</v>
      </c>
      <c r="I25" s="57" t="s">
        <v>19</v>
      </c>
      <c r="J25" s="60">
        <v>90</v>
      </c>
      <c r="K25" s="60">
        <v>90</v>
      </c>
      <c r="L25" s="60">
        <f>90+100</f>
        <v>190</v>
      </c>
      <c r="M25" s="60">
        <f>190+110</f>
        <v>300</v>
      </c>
      <c r="N25" s="60">
        <f>300+120</f>
        <v>420</v>
      </c>
      <c r="O25" s="60">
        <f>420+40</f>
        <v>460</v>
      </c>
      <c r="P25" s="60">
        <v>460</v>
      </c>
      <c r="Q25" s="61"/>
      <c r="R25" s="53">
        <f t="shared" si="2"/>
        <v>801021135</v>
      </c>
      <c r="S25" s="53">
        <v>172596668</v>
      </c>
      <c r="T25" s="59">
        <v>189856334</v>
      </c>
      <c r="U25" s="59">
        <v>208841968</v>
      </c>
      <c r="V25" s="59">
        <v>229726165</v>
      </c>
    </row>
    <row r="26" spans="1:22" ht="12.4" customHeight="1" x14ac:dyDescent="0.25">
      <c r="A26" s="43">
        <v>1</v>
      </c>
      <c r="B26" s="43">
        <v>1</v>
      </c>
      <c r="C26" s="43">
        <v>7</v>
      </c>
      <c r="D26" s="44" t="s">
        <v>2</v>
      </c>
      <c r="E26" s="44"/>
      <c r="F26" s="45" t="s">
        <v>300</v>
      </c>
      <c r="G26" s="43"/>
      <c r="H26" s="43"/>
      <c r="I26" s="43"/>
      <c r="J26" s="43"/>
      <c r="K26" s="62"/>
      <c r="L26" s="62"/>
      <c r="M26" s="62"/>
      <c r="N26" s="62"/>
      <c r="O26" s="62"/>
      <c r="P26" s="62"/>
      <c r="Q26" s="47"/>
      <c r="R26" s="48" t="e">
        <f>+#REF!</f>
        <v>#REF!</v>
      </c>
      <c r="S26" s="48" t="e">
        <f>+#REF!</f>
        <v>#REF!</v>
      </c>
      <c r="T26" s="48" t="e">
        <f>+#REF!</f>
        <v>#REF!</v>
      </c>
      <c r="U26" s="48" t="e">
        <f>+#REF!</f>
        <v>#REF!</v>
      </c>
      <c r="V26" s="48" t="e">
        <f>+#REF!</f>
        <v>#REF!</v>
      </c>
    </row>
    <row r="27" spans="1:22" ht="12.4" customHeight="1" x14ac:dyDescent="0.25">
      <c r="A27" s="30">
        <v>1</v>
      </c>
      <c r="B27" s="30">
        <v>1</v>
      </c>
      <c r="C27" s="30">
        <v>7</v>
      </c>
      <c r="D27" s="50" t="s">
        <v>38</v>
      </c>
      <c r="E27" s="50"/>
      <c r="F27" s="54" t="s">
        <v>301</v>
      </c>
      <c r="G27" s="57" t="s">
        <v>17</v>
      </c>
      <c r="H27" s="57" t="s">
        <v>18</v>
      </c>
      <c r="I27" s="57" t="s">
        <v>19</v>
      </c>
      <c r="J27" s="60">
        <v>3</v>
      </c>
      <c r="K27" s="60">
        <v>3</v>
      </c>
      <c r="L27" s="60">
        <v>4</v>
      </c>
      <c r="M27" s="60">
        <v>5</v>
      </c>
      <c r="N27" s="60">
        <v>5</v>
      </c>
      <c r="O27" s="60">
        <v>5</v>
      </c>
      <c r="P27" s="60">
        <v>5</v>
      </c>
      <c r="Q27" s="58"/>
      <c r="R27" s="53">
        <f>+SUM(S27:V27)</f>
        <v>1677072433</v>
      </c>
      <c r="S27" s="53">
        <v>396088223</v>
      </c>
      <c r="T27" s="59">
        <v>382076612</v>
      </c>
      <c r="U27" s="59">
        <v>423890871</v>
      </c>
      <c r="V27" s="59">
        <v>475016727</v>
      </c>
    </row>
    <row r="28" spans="1:22" ht="12.4" customHeight="1" x14ac:dyDescent="0.25">
      <c r="A28" s="30">
        <v>1</v>
      </c>
      <c r="B28" s="30">
        <v>1</v>
      </c>
      <c r="C28" s="30">
        <v>7</v>
      </c>
      <c r="D28" s="50" t="s">
        <v>38</v>
      </c>
      <c r="E28" s="50"/>
      <c r="F28" s="54" t="s">
        <v>302</v>
      </c>
      <c r="G28" s="57" t="s">
        <v>17</v>
      </c>
      <c r="H28" s="57" t="s">
        <v>18</v>
      </c>
      <c r="I28" s="57" t="s">
        <v>19</v>
      </c>
      <c r="J28" s="60">
        <v>150</v>
      </c>
      <c r="K28" s="60">
        <v>150</v>
      </c>
      <c r="L28" s="60">
        <v>150</v>
      </c>
      <c r="M28" s="60">
        <v>160</v>
      </c>
      <c r="N28" s="60">
        <v>160</v>
      </c>
      <c r="O28" s="60">
        <v>160</v>
      </c>
      <c r="P28" s="60">
        <v>160</v>
      </c>
      <c r="Q28" s="58"/>
      <c r="R28" s="53">
        <f>+SUM(S28:V28)</f>
        <v>1445224688</v>
      </c>
      <c r="S28" s="53">
        <v>339856645</v>
      </c>
      <c r="T28" s="157">
        <v>380000000</v>
      </c>
      <c r="U28" s="157">
        <v>381000000</v>
      </c>
      <c r="V28" s="157">
        <v>344368043</v>
      </c>
    </row>
    <row r="29" spans="1:22" ht="12.4" customHeight="1" x14ac:dyDescent="0.25">
      <c r="A29" s="30">
        <v>1</v>
      </c>
      <c r="B29" s="30">
        <v>1</v>
      </c>
      <c r="C29" s="30">
        <v>8</v>
      </c>
      <c r="D29" s="50" t="s">
        <v>38</v>
      </c>
      <c r="E29" s="50"/>
      <c r="F29" s="54" t="s">
        <v>303</v>
      </c>
      <c r="G29" s="57" t="s">
        <v>21</v>
      </c>
      <c r="H29" s="57" t="s">
        <v>18</v>
      </c>
      <c r="I29" s="57" t="s">
        <v>19</v>
      </c>
      <c r="J29" s="60">
        <v>1</v>
      </c>
      <c r="K29" s="60">
        <v>0</v>
      </c>
      <c r="L29" s="60">
        <v>2</v>
      </c>
      <c r="M29" s="60">
        <v>2</v>
      </c>
      <c r="N29" s="60">
        <v>2</v>
      </c>
      <c r="O29" s="60">
        <v>2</v>
      </c>
      <c r="P29" s="60">
        <v>2</v>
      </c>
      <c r="Q29" s="61"/>
      <c r="R29" s="53">
        <f t="shared" ref="R29" si="3">+SUM(S29:V29)</f>
        <v>92471925</v>
      </c>
      <c r="S29" s="53">
        <v>19925000</v>
      </c>
      <c r="T29" s="59">
        <v>21917500</v>
      </c>
      <c r="U29" s="59">
        <v>24109250</v>
      </c>
      <c r="V29" s="59">
        <v>26520175</v>
      </c>
    </row>
    <row r="30" spans="1:22" s="164" customFormat="1" ht="12.4" customHeight="1" x14ac:dyDescent="0.25">
      <c r="A30" s="43">
        <v>1</v>
      </c>
      <c r="B30" s="43">
        <v>1</v>
      </c>
      <c r="C30" s="43">
        <v>9</v>
      </c>
      <c r="D30" s="44" t="s">
        <v>2</v>
      </c>
      <c r="E30" s="44"/>
      <c r="F30" s="45" t="s">
        <v>304</v>
      </c>
      <c r="G30" s="43"/>
      <c r="H30" s="43"/>
      <c r="I30" s="43"/>
      <c r="J30" s="43"/>
      <c r="K30" s="62"/>
      <c r="L30" s="62"/>
      <c r="M30" s="62"/>
      <c r="N30" s="62"/>
      <c r="O30" s="62"/>
      <c r="P30" s="62"/>
      <c r="Q30" s="47"/>
      <c r="R30" s="48" t="e">
        <f>+#REF!</f>
        <v>#REF!</v>
      </c>
      <c r="S30" s="48" t="e">
        <f>+#REF!</f>
        <v>#REF!</v>
      </c>
      <c r="T30" s="48" t="e">
        <f>+#REF!</f>
        <v>#REF!</v>
      </c>
      <c r="U30" s="48" t="e">
        <f>+#REF!</f>
        <v>#REF!</v>
      </c>
      <c r="V30" s="48" t="e">
        <f>+#REF!</f>
        <v>#REF!</v>
      </c>
    </row>
    <row r="31" spans="1:22" s="21" customFormat="1" ht="12.4" customHeight="1" x14ac:dyDescent="0.25">
      <c r="A31" s="30">
        <v>4</v>
      </c>
      <c r="B31" s="30">
        <v>1</v>
      </c>
      <c r="C31" s="30">
        <v>7</v>
      </c>
      <c r="D31" s="158" t="s">
        <v>38</v>
      </c>
      <c r="E31" s="158"/>
      <c r="F31" s="54" t="s">
        <v>305</v>
      </c>
      <c r="G31" s="57" t="s">
        <v>21</v>
      </c>
      <c r="H31" s="57" t="s">
        <v>22</v>
      </c>
      <c r="I31" s="57" t="s">
        <v>19</v>
      </c>
      <c r="J31" s="140">
        <v>0.1</v>
      </c>
      <c r="K31" s="140">
        <v>0.1</v>
      </c>
      <c r="L31" s="140">
        <v>0.12</v>
      </c>
      <c r="M31" s="140">
        <v>0.15</v>
      </c>
      <c r="N31" s="140">
        <v>0.18</v>
      </c>
      <c r="O31" s="140">
        <v>0.2</v>
      </c>
      <c r="P31" s="140">
        <v>0.2</v>
      </c>
      <c r="Q31" s="49" t="e">
        <f>+R31/#REF!</f>
        <v>#REF!</v>
      </c>
      <c r="R31" s="24" t="e">
        <f>+SUM(R32:R41)</f>
        <v>#REF!</v>
      </c>
      <c r="S31" s="24" t="e">
        <f>+SUM(S32:S41)</f>
        <v>#REF!</v>
      </c>
      <c r="T31" s="24" t="e">
        <f>+SUM(T32:T41)</f>
        <v>#REF!</v>
      </c>
      <c r="U31" s="24" t="e">
        <f>+SUM(U32:U41)</f>
        <v>#REF!</v>
      </c>
      <c r="V31" s="24" t="e">
        <f>+SUM(V32:V41)</f>
        <v>#REF!</v>
      </c>
    </row>
    <row r="32" spans="1:22" ht="12.4" customHeight="1" x14ac:dyDescent="0.25">
      <c r="A32" s="30">
        <v>1</v>
      </c>
      <c r="B32" s="30">
        <v>1</v>
      </c>
      <c r="C32" s="30">
        <v>9</v>
      </c>
      <c r="D32" s="50" t="s">
        <v>38</v>
      </c>
      <c r="E32" s="50"/>
      <c r="F32" s="54" t="s">
        <v>306</v>
      </c>
      <c r="G32" s="57" t="s">
        <v>61</v>
      </c>
      <c r="H32" s="57" t="s">
        <v>18</v>
      </c>
      <c r="I32" s="57" t="s">
        <v>40</v>
      </c>
      <c r="J32" s="60">
        <v>0</v>
      </c>
      <c r="K32" s="60">
        <v>1</v>
      </c>
      <c r="L32" s="60">
        <v>1</v>
      </c>
      <c r="M32" s="60">
        <v>2</v>
      </c>
      <c r="N32" s="60">
        <v>2</v>
      </c>
      <c r="O32" s="60">
        <v>2</v>
      </c>
      <c r="P32" s="60">
        <v>2</v>
      </c>
      <c r="Q32" s="61"/>
      <c r="R32" s="53">
        <f t="shared" ref="R32" si="4">+SUM(S32:V32)</f>
        <v>92471925</v>
      </c>
      <c r="S32" s="53">
        <v>19925000</v>
      </c>
      <c r="T32" s="59">
        <v>21917500</v>
      </c>
      <c r="U32" s="59">
        <v>24109250</v>
      </c>
      <c r="V32" s="59">
        <v>26520175</v>
      </c>
    </row>
    <row r="33" spans="1:22" ht="12.4" customHeight="1" x14ac:dyDescent="0.25">
      <c r="A33" s="30">
        <v>1</v>
      </c>
      <c r="B33" s="30">
        <v>1</v>
      </c>
      <c r="C33" s="30">
        <v>9</v>
      </c>
      <c r="D33" s="50" t="s">
        <v>38</v>
      </c>
      <c r="E33" s="50"/>
      <c r="F33" s="54" t="s">
        <v>307</v>
      </c>
      <c r="G33" s="57" t="s">
        <v>61</v>
      </c>
      <c r="H33" s="57" t="s">
        <v>18</v>
      </c>
      <c r="I33" s="57" t="s">
        <v>19</v>
      </c>
      <c r="J33" s="60">
        <v>35</v>
      </c>
      <c r="K33" s="60">
        <v>35</v>
      </c>
      <c r="L33" s="60">
        <f>35+16</f>
        <v>51</v>
      </c>
      <c r="M33" s="60">
        <v>51</v>
      </c>
      <c r="N33" s="60">
        <v>59</v>
      </c>
      <c r="O33" s="60">
        <f>35+16+8</f>
        <v>59</v>
      </c>
      <c r="P33" s="60">
        <f>35+16+8</f>
        <v>59</v>
      </c>
      <c r="Q33" s="61"/>
      <c r="R33" s="53"/>
      <c r="S33" s="53"/>
      <c r="T33" s="59"/>
      <c r="U33" s="59"/>
      <c r="V33" s="59"/>
    </row>
    <row r="34" spans="1:22" ht="12.4" customHeight="1" x14ac:dyDescent="0.25">
      <c r="A34" s="37">
        <v>1</v>
      </c>
      <c r="B34" s="37">
        <v>2</v>
      </c>
      <c r="C34" s="37">
        <v>0</v>
      </c>
      <c r="D34" s="38" t="s">
        <v>1</v>
      </c>
      <c r="E34" s="38"/>
      <c r="F34" s="39" t="s">
        <v>63</v>
      </c>
      <c r="G34" s="37"/>
      <c r="H34" s="37"/>
      <c r="I34" s="37"/>
      <c r="J34" s="37"/>
      <c r="K34" s="63"/>
      <c r="L34" s="63"/>
      <c r="M34" s="63"/>
      <c r="N34" s="63"/>
      <c r="O34" s="63"/>
      <c r="P34" s="63"/>
      <c r="Q34" s="41"/>
      <c r="R34" s="42" t="e">
        <f>+R35</f>
        <v>#REF!</v>
      </c>
      <c r="S34" s="42" t="e">
        <f>+S35</f>
        <v>#REF!</v>
      </c>
      <c r="T34" s="42" t="e">
        <f>+T35</f>
        <v>#REF!</v>
      </c>
      <c r="U34" s="42" t="e">
        <f>+U35</f>
        <v>#REF!</v>
      </c>
      <c r="V34" s="42" t="e">
        <f>+V35</f>
        <v>#REF!</v>
      </c>
    </row>
    <row r="35" spans="1:22" ht="12.4" customHeight="1" x14ac:dyDescent="0.25">
      <c r="A35" s="43">
        <v>1</v>
      </c>
      <c r="B35" s="43">
        <v>2</v>
      </c>
      <c r="C35" s="43">
        <v>1</v>
      </c>
      <c r="D35" s="44" t="s">
        <v>2</v>
      </c>
      <c r="E35" s="44"/>
      <c r="F35" s="45" t="s">
        <v>308</v>
      </c>
      <c r="G35" s="43"/>
      <c r="H35" s="43"/>
      <c r="I35" s="43"/>
      <c r="J35" s="43"/>
      <c r="K35" s="62"/>
      <c r="L35" s="62"/>
      <c r="M35" s="62"/>
      <c r="N35" s="62"/>
      <c r="O35" s="62"/>
      <c r="P35" s="62"/>
      <c r="Q35" s="47"/>
      <c r="R35" s="48" t="e">
        <f>+#REF!+#REF!+#REF!+#REF!+#REF!+#REF!+#REF!+#REF!</f>
        <v>#REF!</v>
      </c>
      <c r="S35" s="48" t="e">
        <f>+#REF!+#REF!+#REF!+#REF!+#REF!+#REF!+#REF!+#REF!</f>
        <v>#REF!</v>
      </c>
      <c r="T35" s="48" t="e">
        <f>+#REF!+#REF!+#REF!+#REF!+#REF!+#REF!+#REF!+#REF!</f>
        <v>#REF!</v>
      </c>
      <c r="U35" s="48" t="e">
        <f>+#REF!+#REF!+#REF!+#REF!+#REF!+#REF!+#REF!+#REF!</f>
        <v>#REF!</v>
      </c>
      <c r="V35" s="48" t="e">
        <f>+#REF!+#REF!+#REF!+#REF!+#REF!+#REF!+#REF!+#REF!</f>
        <v>#REF!</v>
      </c>
    </row>
    <row r="36" spans="1:22" ht="12.4" customHeight="1" x14ac:dyDescent="0.25">
      <c r="A36" s="30">
        <v>1</v>
      </c>
      <c r="B36" s="30">
        <v>2</v>
      </c>
      <c r="C36" s="30">
        <v>1</v>
      </c>
      <c r="D36" s="50" t="s">
        <v>38</v>
      </c>
      <c r="E36" s="50"/>
      <c r="F36" s="54" t="s">
        <v>309</v>
      </c>
      <c r="G36" s="57" t="s">
        <v>21</v>
      </c>
      <c r="H36" s="57" t="s">
        <v>22</v>
      </c>
      <c r="I36" s="57" t="s">
        <v>40</v>
      </c>
      <c r="J36" s="140">
        <v>0</v>
      </c>
      <c r="K36" s="140">
        <v>0</v>
      </c>
      <c r="L36" s="140">
        <v>0.2</v>
      </c>
      <c r="M36" s="140">
        <v>0.6</v>
      </c>
      <c r="N36" s="140">
        <v>0.8</v>
      </c>
      <c r="O36" s="140">
        <v>1</v>
      </c>
      <c r="P36" s="140">
        <v>1</v>
      </c>
      <c r="Q36" s="61"/>
      <c r="R36" s="53">
        <f>+SUM(S36:V36)</f>
        <v>57106103113</v>
      </c>
      <c r="S36" s="53">
        <v>12785971649</v>
      </c>
      <c r="T36" s="59">
        <v>13732133551</v>
      </c>
      <c r="U36" s="59">
        <v>14748311433</v>
      </c>
      <c r="V36" s="59">
        <v>15839686480</v>
      </c>
    </row>
    <row r="37" spans="1:22" ht="12.4" customHeight="1" x14ac:dyDescent="0.25">
      <c r="A37" s="30">
        <v>1</v>
      </c>
      <c r="B37" s="30">
        <v>2</v>
      </c>
      <c r="C37" s="30">
        <v>1</v>
      </c>
      <c r="D37" s="50" t="s">
        <v>38</v>
      </c>
      <c r="E37" s="50"/>
      <c r="F37" s="54" t="s">
        <v>310</v>
      </c>
      <c r="G37" s="57" t="s">
        <v>21</v>
      </c>
      <c r="H37" s="57" t="s">
        <v>18</v>
      </c>
      <c r="I37" s="57" t="s">
        <v>19</v>
      </c>
      <c r="J37" s="60">
        <v>5</v>
      </c>
      <c r="K37" s="60">
        <f>4</f>
        <v>4</v>
      </c>
      <c r="L37" s="60">
        <f>4+10</f>
        <v>14</v>
      </c>
      <c r="M37" s="60">
        <f>14+10</f>
        <v>24</v>
      </c>
      <c r="N37" s="60">
        <f>24</f>
        <v>24</v>
      </c>
      <c r="O37" s="60">
        <f>24</f>
        <v>24</v>
      </c>
      <c r="P37" s="60">
        <v>24</v>
      </c>
      <c r="Q37" s="61"/>
      <c r="R37" s="53">
        <f>+SUM(S37:V37)</f>
        <v>57106103113</v>
      </c>
      <c r="S37" s="53">
        <v>12785971649</v>
      </c>
      <c r="T37" s="59">
        <v>13732133551</v>
      </c>
      <c r="U37" s="59">
        <v>14748311433</v>
      </c>
      <c r="V37" s="59">
        <v>15839686480</v>
      </c>
    </row>
    <row r="38" spans="1:22" ht="12.4" customHeight="1" x14ac:dyDescent="0.25">
      <c r="A38" s="30">
        <v>1</v>
      </c>
      <c r="B38" s="30">
        <v>2</v>
      </c>
      <c r="C38" s="30">
        <v>1</v>
      </c>
      <c r="D38" s="136" t="s">
        <v>28</v>
      </c>
      <c r="E38" s="50"/>
      <c r="F38" s="54" t="s">
        <v>311</v>
      </c>
      <c r="G38" s="57" t="s">
        <v>17</v>
      </c>
      <c r="H38" s="57" t="s">
        <v>18</v>
      </c>
      <c r="I38" s="57" t="s">
        <v>19</v>
      </c>
      <c r="J38" s="60">
        <v>1</v>
      </c>
      <c r="K38" s="60">
        <v>4</v>
      </c>
      <c r="L38" s="60">
        <f>K38+5</f>
        <v>9</v>
      </c>
      <c r="M38" s="60">
        <f>L38+5</f>
        <v>14</v>
      </c>
      <c r="N38" s="60">
        <f>M38+5</f>
        <v>19</v>
      </c>
      <c r="O38" s="60">
        <f>N38</f>
        <v>19</v>
      </c>
      <c r="P38" s="60">
        <v>19</v>
      </c>
      <c r="Q38" s="61"/>
      <c r="R38" s="53"/>
      <c r="S38" s="53"/>
      <c r="T38" s="59"/>
      <c r="U38" s="59"/>
      <c r="V38" s="59"/>
    </row>
    <row r="39" spans="1:22" s="164" customFormat="1" ht="12.4" customHeight="1" x14ac:dyDescent="0.25">
      <c r="A39" s="43">
        <v>1</v>
      </c>
      <c r="B39" s="43">
        <v>2</v>
      </c>
      <c r="C39" s="43">
        <v>2</v>
      </c>
      <c r="D39" s="44" t="s">
        <v>2</v>
      </c>
      <c r="E39" s="44"/>
      <c r="F39" s="45" t="s">
        <v>312</v>
      </c>
      <c r="G39" s="43"/>
      <c r="H39" s="43"/>
      <c r="I39" s="43"/>
      <c r="J39" s="43"/>
      <c r="K39" s="62"/>
      <c r="L39" s="62"/>
      <c r="M39" s="62"/>
      <c r="N39" s="62"/>
      <c r="O39" s="62"/>
      <c r="P39" s="62"/>
      <c r="Q39" s="47"/>
      <c r="R39" s="48" t="e">
        <f>+#REF!+#REF!+#REF!+#REF!+#REF!+#REF!+#REF!+#REF!</f>
        <v>#REF!</v>
      </c>
      <c r="S39" s="48" t="e">
        <f>+#REF!+#REF!+#REF!+#REF!+#REF!+#REF!+#REF!+#REF!</f>
        <v>#REF!</v>
      </c>
      <c r="T39" s="48" t="e">
        <f>+#REF!+#REF!+#REF!+#REF!+#REF!+#REF!+#REF!+#REF!</f>
        <v>#REF!</v>
      </c>
      <c r="U39" s="48" t="e">
        <f>+#REF!+#REF!+#REF!+#REF!+#REF!+#REF!+#REF!+#REF!</f>
        <v>#REF!</v>
      </c>
      <c r="V39" s="48" t="e">
        <f>+#REF!+#REF!+#REF!+#REF!+#REF!+#REF!+#REF!+#REF!</f>
        <v>#REF!</v>
      </c>
    </row>
    <row r="40" spans="1:22" ht="12.4" customHeight="1" x14ac:dyDescent="0.25">
      <c r="A40" s="30">
        <v>1</v>
      </c>
      <c r="B40" s="30">
        <v>2</v>
      </c>
      <c r="C40" s="30">
        <v>2</v>
      </c>
      <c r="D40" s="50" t="s">
        <v>38</v>
      </c>
      <c r="E40" s="50"/>
      <c r="F40" s="54" t="s">
        <v>313</v>
      </c>
      <c r="G40" s="57" t="s">
        <v>17</v>
      </c>
      <c r="H40" s="57" t="s">
        <v>22</v>
      </c>
      <c r="I40" s="57" t="s">
        <v>30</v>
      </c>
      <c r="J40" s="140">
        <v>0.15</v>
      </c>
      <c r="K40" s="140">
        <v>0.15</v>
      </c>
      <c r="L40" s="140">
        <v>0.25</v>
      </c>
      <c r="M40" s="140">
        <v>0.35</v>
      </c>
      <c r="N40" s="140">
        <v>0.45</v>
      </c>
      <c r="O40" s="140">
        <v>0.5</v>
      </c>
      <c r="P40" s="140">
        <v>0.5</v>
      </c>
      <c r="Q40" s="61"/>
      <c r="R40" s="53">
        <f>+SUM(S40:V40)</f>
        <v>57106103113</v>
      </c>
      <c r="S40" s="53">
        <v>12785971649</v>
      </c>
      <c r="T40" s="59">
        <v>13732133551</v>
      </c>
      <c r="U40" s="59">
        <v>14748311433</v>
      </c>
      <c r="V40" s="59">
        <v>15839686480</v>
      </c>
    </row>
    <row r="41" spans="1:22" ht="12.4" customHeight="1" x14ac:dyDescent="0.25">
      <c r="A41" s="30"/>
      <c r="B41" s="30"/>
      <c r="C41" s="30"/>
      <c r="D41" s="50" t="s">
        <v>38</v>
      </c>
      <c r="E41" s="50"/>
      <c r="F41" s="54" t="s">
        <v>314</v>
      </c>
      <c r="G41" s="57" t="s">
        <v>17</v>
      </c>
      <c r="H41" s="57" t="s">
        <v>22</v>
      </c>
      <c r="I41" s="57" t="s">
        <v>30</v>
      </c>
      <c r="J41" s="140">
        <v>0</v>
      </c>
      <c r="K41" s="140">
        <v>0.15</v>
      </c>
      <c r="L41" s="140">
        <v>0.25</v>
      </c>
      <c r="M41" s="140">
        <v>0.35</v>
      </c>
      <c r="N41" s="140">
        <v>0.45</v>
      </c>
      <c r="O41" s="140">
        <v>0.5</v>
      </c>
      <c r="P41" s="140">
        <v>0.5</v>
      </c>
      <c r="Q41" s="61"/>
      <c r="R41" s="53"/>
      <c r="S41" s="53"/>
      <c r="T41" s="59"/>
      <c r="U41" s="59"/>
      <c r="V41" s="59"/>
    </row>
    <row r="42" spans="1:22" ht="12.4" customHeight="1" x14ac:dyDescent="0.25">
      <c r="A42" s="30">
        <v>1</v>
      </c>
      <c r="B42" s="30">
        <v>2</v>
      </c>
      <c r="C42" s="30">
        <v>2</v>
      </c>
      <c r="D42" s="50" t="s">
        <v>38</v>
      </c>
      <c r="E42" s="50"/>
      <c r="F42" s="54" t="s">
        <v>315</v>
      </c>
      <c r="G42" s="57" t="s">
        <v>17</v>
      </c>
      <c r="H42" s="57" t="s">
        <v>18</v>
      </c>
      <c r="I42" s="57" t="s">
        <v>23</v>
      </c>
      <c r="J42" s="60">
        <v>4.4000000000000004</v>
      </c>
      <c r="K42" s="60">
        <v>4.4000000000000004</v>
      </c>
      <c r="L42" s="60">
        <v>4.4000000000000004</v>
      </c>
      <c r="M42" s="60">
        <v>4.4000000000000004</v>
      </c>
      <c r="N42" s="60">
        <v>4.4000000000000004</v>
      </c>
      <c r="O42" s="60">
        <v>4.4000000000000004</v>
      </c>
      <c r="P42" s="60">
        <v>4.4000000000000004</v>
      </c>
      <c r="Q42" s="61"/>
      <c r="R42" s="53">
        <f>+SUM(S42:V42)</f>
        <v>57106103113</v>
      </c>
      <c r="S42" s="53">
        <v>12785971649</v>
      </c>
      <c r="T42" s="59">
        <v>13732133551</v>
      </c>
      <c r="U42" s="59">
        <v>14748311433</v>
      </c>
      <c r="V42" s="59">
        <v>15839686480</v>
      </c>
    </row>
    <row r="43" spans="1:22" ht="12.4" customHeight="1" x14ac:dyDescent="0.25">
      <c r="A43" s="30">
        <v>1</v>
      </c>
      <c r="B43" s="30">
        <v>2</v>
      </c>
      <c r="C43" s="30">
        <v>2</v>
      </c>
      <c r="D43" s="50" t="s">
        <v>38</v>
      </c>
      <c r="E43" s="50"/>
      <c r="F43" s="54" t="s">
        <v>316</v>
      </c>
      <c r="G43" s="57" t="s">
        <v>21</v>
      </c>
      <c r="H43" s="57" t="s">
        <v>22</v>
      </c>
      <c r="I43" s="57" t="s">
        <v>19</v>
      </c>
      <c r="J43" s="140">
        <v>0.5</v>
      </c>
      <c r="K43" s="140">
        <v>0.5</v>
      </c>
      <c r="L43" s="140">
        <v>0.55000000000000004</v>
      </c>
      <c r="M43" s="140">
        <v>0.6</v>
      </c>
      <c r="N43" s="140">
        <v>0.7</v>
      </c>
      <c r="O43" s="140">
        <v>0.75</v>
      </c>
      <c r="P43" s="140">
        <v>0.75</v>
      </c>
      <c r="Q43" s="61"/>
      <c r="R43" s="53">
        <f>+SUM(S43:V43)</f>
        <v>2479949387</v>
      </c>
      <c r="S43" s="53">
        <v>555256984</v>
      </c>
      <c r="T43" s="59">
        <v>596346000</v>
      </c>
      <c r="U43" s="59">
        <v>640475604</v>
      </c>
      <c r="V43" s="59">
        <v>687870799</v>
      </c>
    </row>
    <row r="44" spans="1:22" s="164" customFormat="1" ht="12.4" customHeight="1" x14ac:dyDescent="0.25">
      <c r="A44" s="43">
        <v>1</v>
      </c>
      <c r="B44" s="43">
        <v>2</v>
      </c>
      <c r="C44" s="43">
        <v>3</v>
      </c>
      <c r="D44" s="44" t="s">
        <v>2</v>
      </c>
      <c r="E44" s="44"/>
      <c r="F44" s="45" t="s">
        <v>317</v>
      </c>
      <c r="G44" s="43"/>
      <c r="H44" s="43"/>
      <c r="I44" s="43"/>
      <c r="J44" s="43"/>
      <c r="K44" s="62"/>
      <c r="L44" s="62"/>
      <c r="M44" s="62"/>
      <c r="N44" s="62"/>
      <c r="O44" s="62"/>
      <c r="P44" s="62"/>
      <c r="Q44" s="47"/>
      <c r="R44" s="48" t="e">
        <f>+#REF!+#REF!+#REF!+#REF!+#REF!+#REF!+#REF!+#REF!</f>
        <v>#REF!</v>
      </c>
      <c r="S44" s="48" t="e">
        <f>+#REF!+#REF!+#REF!+#REF!+#REF!+#REF!+#REF!+#REF!</f>
        <v>#REF!</v>
      </c>
      <c r="T44" s="48" t="e">
        <f>+#REF!+#REF!+#REF!+#REF!+#REF!+#REF!+#REF!+#REF!</f>
        <v>#REF!</v>
      </c>
      <c r="U44" s="48" t="e">
        <f>+#REF!+#REF!+#REF!+#REF!+#REF!+#REF!+#REF!+#REF!</f>
        <v>#REF!</v>
      </c>
      <c r="V44" s="48" t="e">
        <f>+#REF!+#REF!+#REF!+#REF!+#REF!+#REF!+#REF!+#REF!</f>
        <v>#REF!</v>
      </c>
    </row>
    <row r="45" spans="1:22" ht="12.4" customHeight="1" x14ac:dyDescent="0.25">
      <c r="A45" s="30">
        <v>1</v>
      </c>
      <c r="B45" s="30">
        <v>2</v>
      </c>
      <c r="C45" s="30">
        <v>3</v>
      </c>
      <c r="D45" s="50" t="s">
        <v>38</v>
      </c>
      <c r="E45" s="50"/>
      <c r="F45" s="54" t="s">
        <v>318</v>
      </c>
      <c r="G45" s="57" t="s">
        <v>17</v>
      </c>
      <c r="H45" s="57" t="s">
        <v>22</v>
      </c>
      <c r="I45" s="57" t="s">
        <v>40</v>
      </c>
      <c r="J45" s="140">
        <v>0</v>
      </c>
      <c r="K45" s="140">
        <v>0</v>
      </c>
      <c r="L45" s="140">
        <v>0.6</v>
      </c>
      <c r="M45" s="140">
        <f>60%+20%</f>
        <v>0.8</v>
      </c>
      <c r="N45" s="140">
        <f>80%+20%</f>
        <v>1</v>
      </c>
      <c r="O45" s="140">
        <f>80%+20%</f>
        <v>1</v>
      </c>
      <c r="P45" s="140">
        <f>80%+20%</f>
        <v>1</v>
      </c>
      <c r="Q45" s="61"/>
      <c r="R45" s="53">
        <f>+SUM(S45:V45)</f>
        <v>57106103113</v>
      </c>
      <c r="S45" s="53">
        <v>12785971649</v>
      </c>
      <c r="T45" s="59">
        <v>13732133551</v>
      </c>
      <c r="U45" s="59">
        <v>14748311433</v>
      </c>
      <c r="V45" s="59">
        <v>15839686480</v>
      </c>
    </row>
    <row r="46" spans="1:22" ht="12.4" customHeight="1" x14ac:dyDescent="0.25">
      <c r="A46" s="30">
        <v>1</v>
      </c>
      <c r="B46" s="30">
        <v>2</v>
      </c>
      <c r="C46" s="30">
        <v>3</v>
      </c>
      <c r="D46" s="50" t="s">
        <v>38</v>
      </c>
      <c r="E46" s="50"/>
      <c r="F46" s="54" t="s">
        <v>319</v>
      </c>
      <c r="G46" s="57" t="s">
        <v>17</v>
      </c>
      <c r="H46" s="57" t="s">
        <v>18</v>
      </c>
      <c r="I46" s="57" t="s">
        <v>40</v>
      </c>
      <c r="J46" s="60">
        <v>0</v>
      </c>
      <c r="K46" s="60">
        <v>3</v>
      </c>
      <c r="L46" s="60">
        <v>6</v>
      </c>
      <c r="M46" s="60">
        <v>9</v>
      </c>
      <c r="N46" s="60">
        <v>10</v>
      </c>
      <c r="O46" s="60">
        <v>10</v>
      </c>
      <c r="P46" s="60">
        <v>10</v>
      </c>
      <c r="Q46" s="61"/>
      <c r="R46" s="53"/>
      <c r="S46" s="53"/>
      <c r="T46" s="59"/>
      <c r="U46" s="59"/>
      <c r="V46" s="59"/>
    </row>
    <row r="47" spans="1:22" s="71" customFormat="1" ht="12.4" customHeight="1" x14ac:dyDescent="0.25">
      <c r="A47" s="65">
        <v>2</v>
      </c>
      <c r="B47" s="65">
        <v>0</v>
      </c>
      <c r="C47" s="65">
        <v>0</v>
      </c>
      <c r="D47" s="66" t="s">
        <v>0</v>
      </c>
      <c r="E47" s="66"/>
      <c r="F47" s="67" t="s">
        <v>97</v>
      </c>
      <c r="G47" s="65"/>
      <c r="H47" s="65"/>
      <c r="I47" s="65"/>
      <c r="J47" s="65"/>
      <c r="K47" s="68"/>
      <c r="L47" s="68"/>
      <c r="M47" s="68"/>
      <c r="N47" s="68"/>
      <c r="O47" s="68"/>
      <c r="P47" s="68"/>
      <c r="Q47" s="69"/>
      <c r="R47" s="70" t="e">
        <f>+R48+R62+R74+#REF!</f>
        <v>#REF!</v>
      </c>
      <c r="S47" s="70" t="e">
        <f>+S48+S62+S74+#REF!</f>
        <v>#REF!</v>
      </c>
      <c r="T47" s="70" t="e">
        <f>+T48+T62+T74+#REF!</f>
        <v>#REF!</v>
      </c>
      <c r="U47" s="70" t="e">
        <f>+U48+U62+U74+#REF!</f>
        <v>#REF!</v>
      </c>
      <c r="V47" s="70" t="e">
        <f>+V48+V62+V74+#REF!</f>
        <v>#REF!</v>
      </c>
    </row>
    <row r="48" spans="1:22" s="71" customFormat="1" ht="12.4" customHeight="1" x14ac:dyDescent="0.25">
      <c r="A48" s="72">
        <v>2</v>
      </c>
      <c r="B48" s="72">
        <v>1</v>
      </c>
      <c r="C48" s="72">
        <v>0</v>
      </c>
      <c r="D48" s="73" t="s">
        <v>1</v>
      </c>
      <c r="E48" s="73"/>
      <c r="F48" s="74" t="s">
        <v>102</v>
      </c>
      <c r="G48" s="72"/>
      <c r="H48" s="72"/>
      <c r="I48" s="72"/>
      <c r="J48" s="72"/>
      <c r="K48" s="75"/>
      <c r="L48" s="75"/>
      <c r="M48" s="75"/>
      <c r="N48" s="75"/>
      <c r="O48" s="75"/>
      <c r="P48" s="75"/>
      <c r="Q48" s="76"/>
      <c r="R48" s="77" t="e">
        <f>+R49+R52+#REF!+#REF!+#REF!+#REF!+#REF!</f>
        <v>#REF!</v>
      </c>
      <c r="S48" s="77" t="e">
        <f>+S49+S52+#REF!+#REF!+#REF!+#REF!+#REF!</f>
        <v>#REF!</v>
      </c>
      <c r="T48" s="77" t="e">
        <f>+T49+T52+#REF!+#REF!+#REF!+#REF!+#REF!</f>
        <v>#REF!</v>
      </c>
      <c r="U48" s="77" t="e">
        <f>+U49+U52+#REF!+#REF!+#REF!+#REF!+#REF!</f>
        <v>#REF!</v>
      </c>
      <c r="V48" s="77" t="e">
        <f>+V49+V52+#REF!+#REF!+#REF!+#REF!+#REF!</f>
        <v>#REF!</v>
      </c>
    </row>
    <row r="49" spans="1:22" s="71" customFormat="1" ht="12.4" customHeight="1" x14ac:dyDescent="0.25">
      <c r="A49" s="78">
        <v>2</v>
      </c>
      <c r="B49" s="78">
        <v>1</v>
      </c>
      <c r="C49" s="78">
        <v>1</v>
      </c>
      <c r="D49" s="79" t="s">
        <v>2</v>
      </c>
      <c r="E49" s="79"/>
      <c r="F49" s="80" t="s">
        <v>107</v>
      </c>
      <c r="G49" s="78"/>
      <c r="H49" s="78"/>
      <c r="I49" s="78"/>
      <c r="J49" s="78"/>
      <c r="K49" s="81"/>
      <c r="L49" s="81"/>
      <c r="M49" s="81"/>
      <c r="N49" s="81"/>
      <c r="O49" s="81"/>
      <c r="P49" s="81"/>
      <c r="Q49" s="82"/>
      <c r="R49" s="83" t="e">
        <f>+#REF!</f>
        <v>#REF!</v>
      </c>
      <c r="S49" s="83" t="e">
        <f>+#REF!</f>
        <v>#REF!</v>
      </c>
      <c r="T49" s="83" t="e">
        <f>+#REF!</f>
        <v>#REF!</v>
      </c>
      <c r="U49" s="83" t="e">
        <f>+#REF!</f>
        <v>#REF!</v>
      </c>
      <c r="V49" s="83" t="e">
        <f>+#REF!</f>
        <v>#REF!</v>
      </c>
    </row>
    <row r="50" spans="1:22" ht="12.4" customHeight="1" x14ac:dyDescent="0.25">
      <c r="A50" s="30">
        <v>2</v>
      </c>
      <c r="B50" s="30">
        <v>1</v>
      </c>
      <c r="C50" s="30">
        <v>1</v>
      </c>
      <c r="D50" s="50" t="s">
        <v>38</v>
      </c>
      <c r="E50" s="50"/>
      <c r="F50" s="54" t="s">
        <v>320</v>
      </c>
      <c r="G50" s="57" t="s">
        <v>17</v>
      </c>
      <c r="H50" s="57" t="s">
        <v>18</v>
      </c>
      <c r="I50" s="57" t="s">
        <v>40</v>
      </c>
      <c r="J50" s="60">
        <v>0</v>
      </c>
      <c r="K50" s="60">
        <v>1</v>
      </c>
      <c r="L50" s="60">
        <v>1</v>
      </c>
      <c r="M50" s="60">
        <v>1</v>
      </c>
      <c r="N50" s="60">
        <v>1</v>
      </c>
      <c r="O50" s="60">
        <v>1</v>
      </c>
      <c r="P50" s="60">
        <v>1</v>
      </c>
      <c r="Q50" s="58"/>
      <c r="R50" s="53">
        <f>+SUM(S50:V50)</f>
        <v>44517774399</v>
      </c>
      <c r="S50" s="53">
        <v>12921633466</v>
      </c>
      <c r="T50" s="59">
        <v>10488146523</v>
      </c>
      <c r="U50" s="59">
        <v>10579409270</v>
      </c>
      <c r="V50" s="59">
        <v>10528585140</v>
      </c>
    </row>
    <row r="51" spans="1:22" ht="12.4" customHeight="1" x14ac:dyDescent="0.25">
      <c r="A51" s="30">
        <v>2</v>
      </c>
      <c r="B51" s="30">
        <v>1</v>
      </c>
      <c r="C51" s="30">
        <v>1</v>
      </c>
      <c r="D51" s="50" t="s">
        <v>38</v>
      </c>
      <c r="E51" s="50"/>
      <c r="F51" s="54" t="s">
        <v>321</v>
      </c>
      <c r="G51" s="57" t="s">
        <v>17</v>
      </c>
      <c r="H51" s="57" t="s">
        <v>22</v>
      </c>
      <c r="I51" s="57" t="s">
        <v>40</v>
      </c>
      <c r="J51" s="140">
        <v>0</v>
      </c>
      <c r="K51" s="140">
        <v>0.3</v>
      </c>
      <c r="L51" s="140">
        <v>0.3</v>
      </c>
      <c r="M51" s="140">
        <v>0.3</v>
      </c>
      <c r="N51" s="140">
        <v>0.3</v>
      </c>
      <c r="O51" s="140">
        <v>0.1</v>
      </c>
      <c r="P51" s="140">
        <v>0.99999999999999989</v>
      </c>
      <c r="Q51" s="58"/>
      <c r="R51" s="53">
        <f>+SUM(S51:V51)</f>
        <v>44517774399</v>
      </c>
      <c r="S51" s="53">
        <v>12921633466</v>
      </c>
      <c r="T51" s="59">
        <v>10488146523</v>
      </c>
      <c r="U51" s="59">
        <v>10579409270</v>
      </c>
      <c r="V51" s="59">
        <v>10528585140</v>
      </c>
    </row>
    <row r="52" spans="1:22" s="71" customFormat="1" ht="12.4" customHeight="1" x14ac:dyDescent="0.25">
      <c r="A52" s="78">
        <v>2</v>
      </c>
      <c r="B52" s="78">
        <v>1</v>
      </c>
      <c r="C52" s="78">
        <v>2</v>
      </c>
      <c r="D52" s="79" t="s">
        <v>2</v>
      </c>
      <c r="E52" s="79"/>
      <c r="F52" s="80" t="s">
        <v>110</v>
      </c>
      <c r="G52" s="78"/>
      <c r="H52" s="78"/>
      <c r="I52" s="78"/>
      <c r="J52" s="78"/>
      <c r="K52" s="81"/>
      <c r="L52" s="81"/>
      <c r="M52" s="81"/>
      <c r="N52" s="81"/>
      <c r="O52" s="81"/>
      <c r="P52" s="81"/>
      <c r="Q52" s="82"/>
      <c r="R52" s="83" t="e">
        <f>+#REF!+#REF!+#REF!</f>
        <v>#REF!</v>
      </c>
      <c r="S52" s="83" t="e">
        <f>+#REF!+#REF!+#REF!</f>
        <v>#REF!</v>
      </c>
      <c r="T52" s="83" t="e">
        <f>+#REF!+#REF!+#REF!</f>
        <v>#REF!</v>
      </c>
      <c r="U52" s="83" t="e">
        <f>+#REF!+#REF!+#REF!</f>
        <v>#REF!</v>
      </c>
      <c r="V52" s="83" t="e">
        <f>+#REF!+#REF!+#REF!</f>
        <v>#REF!</v>
      </c>
    </row>
    <row r="53" spans="1:22" ht="12.4" customHeight="1" x14ac:dyDescent="0.25">
      <c r="A53" s="30">
        <v>2</v>
      </c>
      <c r="B53" s="30">
        <v>1</v>
      </c>
      <c r="C53" s="30">
        <v>2</v>
      </c>
      <c r="D53" s="50" t="s">
        <v>38</v>
      </c>
      <c r="E53" s="50"/>
      <c r="F53" s="54" t="s">
        <v>322</v>
      </c>
      <c r="G53" s="57" t="s">
        <v>17</v>
      </c>
      <c r="H53" s="57" t="s">
        <v>18</v>
      </c>
      <c r="I53" s="57" t="s">
        <v>40</v>
      </c>
      <c r="J53" s="60">
        <v>0</v>
      </c>
      <c r="K53" s="60">
        <v>1</v>
      </c>
      <c r="L53" s="60">
        <v>2</v>
      </c>
      <c r="M53" s="60">
        <v>3</v>
      </c>
      <c r="N53" s="60">
        <v>4</v>
      </c>
      <c r="O53" s="60">
        <v>4</v>
      </c>
      <c r="P53" s="60">
        <v>4</v>
      </c>
      <c r="Q53" s="61"/>
      <c r="R53" s="53">
        <f>+SUM(S53:V53)</f>
        <v>100000000</v>
      </c>
      <c r="S53" s="53">
        <v>100000</v>
      </c>
      <c r="T53" s="59">
        <v>40000000</v>
      </c>
      <c r="U53" s="59">
        <v>59800000</v>
      </c>
      <c r="V53" s="59">
        <v>100000</v>
      </c>
    </row>
    <row r="54" spans="1:22" ht="12.4" customHeight="1" x14ac:dyDescent="0.25">
      <c r="A54" s="30">
        <v>2</v>
      </c>
      <c r="B54" s="30">
        <v>1</v>
      </c>
      <c r="C54" s="30">
        <v>2</v>
      </c>
      <c r="D54" s="50" t="s">
        <v>38</v>
      </c>
      <c r="E54" s="50"/>
      <c r="F54" s="54" t="s">
        <v>323</v>
      </c>
      <c r="G54" s="57" t="s">
        <v>17</v>
      </c>
      <c r="H54" s="57" t="s">
        <v>18</v>
      </c>
      <c r="I54" s="57" t="s">
        <v>40</v>
      </c>
      <c r="J54" s="60">
        <v>0</v>
      </c>
      <c r="K54" s="60">
        <v>1</v>
      </c>
      <c r="L54" s="60">
        <v>2</v>
      </c>
      <c r="M54" s="60">
        <v>3</v>
      </c>
      <c r="N54" s="60">
        <v>4</v>
      </c>
      <c r="O54" s="60">
        <v>4</v>
      </c>
      <c r="P54" s="60">
        <v>4</v>
      </c>
      <c r="Q54" s="58"/>
      <c r="R54" s="53">
        <f t="shared" ref="R54:R58" si="5">+SUM(S54:V54)</f>
        <v>3478993065</v>
      </c>
      <c r="S54" s="53">
        <v>831573433</v>
      </c>
      <c r="T54" s="59">
        <v>856520635</v>
      </c>
      <c r="U54" s="59">
        <v>882216255</v>
      </c>
      <c r="V54" s="59">
        <v>908682742</v>
      </c>
    </row>
    <row r="55" spans="1:22" ht="12.4" customHeight="1" x14ac:dyDescent="0.25">
      <c r="A55" s="30"/>
      <c r="B55" s="30"/>
      <c r="C55" s="30"/>
      <c r="D55" s="50" t="s">
        <v>38</v>
      </c>
      <c r="E55" s="50"/>
      <c r="F55" s="54" t="s">
        <v>111</v>
      </c>
      <c r="G55" s="57" t="s">
        <v>21</v>
      </c>
      <c r="H55" s="57" t="s">
        <v>18</v>
      </c>
      <c r="I55" s="57" t="s">
        <v>40</v>
      </c>
      <c r="J55" s="60">
        <v>0</v>
      </c>
      <c r="K55" s="60">
        <v>2</v>
      </c>
      <c r="L55" s="60">
        <v>4</v>
      </c>
      <c r="M55" s="60">
        <v>6</v>
      </c>
      <c r="N55" s="60">
        <v>8</v>
      </c>
      <c r="O55" s="60">
        <v>9</v>
      </c>
      <c r="P55" s="60">
        <v>9</v>
      </c>
      <c r="Q55" s="58"/>
      <c r="R55" s="53"/>
      <c r="S55" s="53"/>
      <c r="T55" s="59"/>
      <c r="U55" s="59"/>
      <c r="V55" s="59"/>
    </row>
    <row r="56" spans="1:22" s="71" customFormat="1" ht="12.4" customHeight="1" x14ac:dyDescent="0.25">
      <c r="A56" s="78">
        <v>2</v>
      </c>
      <c r="B56" s="78">
        <v>1</v>
      </c>
      <c r="C56" s="78">
        <v>3</v>
      </c>
      <c r="D56" s="79" t="s">
        <v>2</v>
      </c>
      <c r="E56" s="79"/>
      <c r="F56" s="80" t="s">
        <v>113</v>
      </c>
      <c r="G56" s="78"/>
      <c r="H56" s="78"/>
      <c r="I56" s="78"/>
      <c r="J56" s="78"/>
      <c r="K56" s="81"/>
      <c r="L56" s="81"/>
      <c r="M56" s="81"/>
      <c r="N56" s="81"/>
      <c r="O56" s="81"/>
      <c r="P56" s="81"/>
      <c r="Q56" s="82"/>
      <c r="R56" s="83" t="e">
        <f>+#REF!+#REF!+#REF!</f>
        <v>#REF!</v>
      </c>
      <c r="S56" s="83" t="e">
        <f>+#REF!+#REF!+#REF!</f>
        <v>#REF!</v>
      </c>
      <c r="T56" s="83" t="e">
        <f>+#REF!+#REF!+#REF!</f>
        <v>#REF!</v>
      </c>
      <c r="U56" s="83" t="e">
        <f>+#REF!+#REF!+#REF!</f>
        <v>#REF!</v>
      </c>
      <c r="V56" s="83" t="e">
        <f>+#REF!+#REF!+#REF!</f>
        <v>#REF!</v>
      </c>
    </row>
    <row r="57" spans="1:22" ht="12.4" customHeight="1" x14ac:dyDescent="0.25">
      <c r="A57" s="30">
        <v>2</v>
      </c>
      <c r="B57" s="30">
        <v>1</v>
      </c>
      <c r="C57" s="30">
        <v>3</v>
      </c>
      <c r="D57" s="135" t="s">
        <v>38</v>
      </c>
      <c r="E57" s="135"/>
      <c r="F57" s="54" t="s">
        <v>324</v>
      </c>
      <c r="G57" s="57" t="s">
        <v>21</v>
      </c>
      <c r="H57" s="57" t="s">
        <v>18</v>
      </c>
      <c r="I57" s="57" t="s">
        <v>19</v>
      </c>
      <c r="J57" s="60">
        <v>8</v>
      </c>
      <c r="K57" s="60">
        <v>8</v>
      </c>
      <c r="L57" s="60">
        <v>18</v>
      </c>
      <c r="M57" s="60">
        <f>12+18</f>
        <v>30</v>
      </c>
      <c r="N57" s="60">
        <f>30+14</f>
        <v>44</v>
      </c>
      <c r="O57" s="60">
        <v>46</v>
      </c>
      <c r="P57" s="60">
        <v>46</v>
      </c>
      <c r="Q57" s="61"/>
      <c r="R57" s="53"/>
      <c r="S57" s="53"/>
      <c r="T57" s="59"/>
      <c r="U57" s="59"/>
      <c r="V57" s="59"/>
    </row>
    <row r="58" spans="1:22" ht="12.4" customHeight="1" x14ac:dyDescent="0.25">
      <c r="A58" s="30">
        <v>2</v>
      </c>
      <c r="B58" s="30">
        <v>1</v>
      </c>
      <c r="C58" s="30">
        <v>3</v>
      </c>
      <c r="D58" s="50" t="s">
        <v>38</v>
      </c>
      <c r="E58" s="50"/>
      <c r="F58" s="54" t="s">
        <v>104</v>
      </c>
      <c r="G58" s="57" t="s">
        <v>21</v>
      </c>
      <c r="H58" s="57" t="s">
        <v>18</v>
      </c>
      <c r="I58" s="57" t="s">
        <v>19</v>
      </c>
      <c r="J58" s="60">
        <v>23</v>
      </c>
      <c r="K58" s="60">
        <v>28</v>
      </c>
      <c r="L58" s="60">
        <f>30+28</f>
        <v>58</v>
      </c>
      <c r="M58" s="60">
        <f>58+32</f>
        <v>90</v>
      </c>
      <c r="N58" s="60">
        <f>90+34</f>
        <v>124</v>
      </c>
      <c r="O58" s="60">
        <f>124+10</f>
        <v>134</v>
      </c>
      <c r="P58" s="60">
        <v>134</v>
      </c>
      <c r="Q58" s="61"/>
      <c r="R58" s="53">
        <f t="shared" si="5"/>
        <v>105100000</v>
      </c>
      <c r="S58" s="53">
        <v>100000</v>
      </c>
      <c r="T58" s="59">
        <v>30000000</v>
      </c>
      <c r="U58" s="59">
        <v>35000000</v>
      </c>
      <c r="V58" s="59">
        <v>40000000</v>
      </c>
    </row>
    <row r="59" spans="1:22" ht="12.4" customHeight="1" x14ac:dyDescent="0.25">
      <c r="A59" s="30">
        <v>2</v>
      </c>
      <c r="B59" s="30">
        <v>1</v>
      </c>
      <c r="C59" s="30">
        <v>3</v>
      </c>
      <c r="D59" s="50" t="s">
        <v>38</v>
      </c>
      <c r="E59" s="50"/>
      <c r="F59" s="54" t="s">
        <v>325</v>
      </c>
      <c r="G59" s="57" t="s">
        <v>21</v>
      </c>
      <c r="H59" s="57" t="s">
        <v>18</v>
      </c>
      <c r="I59" s="57" t="s">
        <v>19</v>
      </c>
      <c r="J59" s="60">
        <v>250</v>
      </c>
      <c r="K59" s="60">
        <v>250</v>
      </c>
      <c r="L59" s="60">
        <v>250</v>
      </c>
      <c r="M59" s="60">
        <v>300</v>
      </c>
      <c r="N59" s="60">
        <v>320</v>
      </c>
      <c r="O59" s="60">
        <v>320</v>
      </c>
      <c r="P59" s="60">
        <v>320</v>
      </c>
      <c r="Q59" s="61"/>
      <c r="R59" s="53"/>
      <c r="S59" s="53"/>
      <c r="T59" s="59"/>
      <c r="U59" s="59"/>
      <c r="V59" s="59"/>
    </row>
    <row r="60" spans="1:22" ht="12.4" customHeight="1" x14ac:dyDescent="0.25">
      <c r="A60" s="30">
        <v>2</v>
      </c>
      <c r="B60" s="30">
        <v>1</v>
      </c>
      <c r="C60" s="30">
        <v>3</v>
      </c>
      <c r="D60" s="50" t="s">
        <v>38</v>
      </c>
      <c r="E60" s="50"/>
      <c r="F60" s="54" t="s">
        <v>326</v>
      </c>
      <c r="G60" s="57" t="s">
        <v>21</v>
      </c>
      <c r="H60" s="57" t="s">
        <v>18</v>
      </c>
      <c r="I60" s="57" t="s">
        <v>23</v>
      </c>
      <c r="J60" s="60">
        <v>27</v>
      </c>
      <c r="K60" s="60">
        <v>27</v>
      </c>
      <c r="L60" s="60">
        <v>27</v>
      </c>
      <c r="M60" s="60">
        <v>27</v>
      </c>
      <c r="N60" s="60">
        <v>27</v>
      </c>
      <c r="O60" s="60">
        <v>27</v>
      </c>
      <c r="P60" s="60">
        <v>27</v>
      </c>
      <c r="Q60" s="61"/>
      <c r="R60" s="53"/>
      <c r="S60" s="53"/>
      <c r="T60" s="59"/>
      <c r="U60" s="59"/>
      <c r="V60" s="59"/>
    </row>
    <row r="61" spans="1:22" ht="12.4" customHeight="1" x14ac:dyDescent="0.25">
      <c r="A61" s="30"/>
      <c r="B61" s="30"/>
      <c r="C61" s="30"/>
      <c r="D61" s="50" t="s">
        <v>38</v>
      </c>
      <c r="E61" s="50"/>
      <c r="F61" s="54" t="s">
        <v>327</v>
      </c>
      <c r="G61" s="57" t="s">
        <v>17</v>
      </c>
      <c r="H61" s="57" t="s">
        <v>18</v>
      </c>
      <c r="I61" s="57" t="s">
        <v>19</v>
      </c>
      <c r="J61" s="60">
        <v>3</v>
      </c>
      <c r="K61" s="60">
        <v>10</v>
      </c>
      <c r="L61" s="60">
        <v>22</v>
      </c>
      <c r="M61" s="60">
        <v>36</v>
      </c>
      <c r="N61" s="60">
        <f>16+36</f>
        <v>52</v>
      </c>
      <c r="O61" s="60">
        <v>54</v>
      </c>
      <c r="P61" s="60">
        <v>54</v>
      </c>
      <c r="Q61" s="61"/>
      <c r="R61" s="53"/>
      <c r="S61" s="53"/>
      <c r="T61" s="59"/>
      <c r="U61" s="59"/>
      <c r="V61" s="59"/>
    </row>
    <row r="62" spans="1:22" s="71" customFormat="1" ht="12.4" customHeight="1" x14ac:dyDescent="0.25">
      <c r="A62" s="72">
        <v>2</v>
      </c>
      <c r="B62" s="72">
        <v>2</v>
      </c>
      <c r="C62" s="72">
        <v>0</v>
      </c>
      <c r="D62" s="73" t="s">
        <v>1</v>
      </c>
      <c r="E62" s="73"/>
      <c r="F62" s="74" t="s">
        <v>117</v>
      </c>
      <c r="G62" s="144"/>
      <c r="H62" s="72"/>
      <c r="I62" s="72"/>
      <c r="J62" s="72"/>
      <c r="K62" s="75"/>
      <c r="L62" s="75"/>
      <c r="M62" s="75"/>
      <c r="N62" s="75"/>
      <c r="O62" s="75"/>
      <c r="P62" s="75"/>
      <c r="Q62" s="76"/>
      <c r="R62" s="77" t="e">
        <f>+R63</f>
        <v>#REF!</v>
      </c>
      <c r="S62" s="77" t="e">
        <f>+S63</f>
        <v>#REF!</v>
      </c>
      <c r="T62" s="77" t="e">
        <f>+T63</f>
        <v>#REF!</v>
      </c>
      <c r="U62" s="77" t="e">
        <f>+U63</f>
        <v>#REF!</v>
      </c>
      <c r="V62" s="77" t="e">
        <f>+V63</f>
        <v>#REF!</v>
      </c>
    </row>
    <row r="63" spans="1:22" s="71" customFormat="1" ht="12.4" customHeight="1" x14ac:dyDescent="0.25">
      <c r="A63" s="78">
        <v>2</v>
      </c>
      <c r="B63" s="78">
        <v>2</v>
      </c>
      <c r="C63" s="78">
        <v>1</v>
      </c>
      <c r="D63" s="79" t="s">
        <v>2</v>
      </c>
      <c r="E63" s="79"/>
      <c r="F63" s="80" t="s">
        <v>328</v>
      </c>
      <c r="G63" s="78"/>
      <c r="H63" s="78"/>
      <c r="I63" s="78"/>
      <c r="J63" s="78"/>
      <c r="K63" s="81"/>
      <c r="L63" s="81"/>
      <c r="M63" s="81"/>
      <c r="N63" s="81"/>
      <c r="O63" s="81"/>
      <c r="P63" s="81"/>
      <c r="Q63" s="82"/>
      <c r="R63" s="83" t="e">
        <f>+#REF!+#REF!+#REF!</f>
        <v>#REF!</v>
      </c>
      <c r="S63" s="83" t="e">
        <f>+#REF!+#REF!+#REF!</f>
        <v>#REF!</v>
      </c>
      <c r="T63" s="83" t="e">
        <f>+#REF!+#REF!+#REF!</f>
        <v>#REF!</v>
      </c>
      <c r="U63" s="83" t="e">
        <f>+#REF!+#REF!+#REF!</f>
        <v>#REF!</v>
      </c>
      <c r="V63" s="83" t="e">
        <f>+#REF!+#REF!+#REF!</f>
        <v>#REF!</v>
      </c>
    </row>
    <row r="64" spans="1:22" ht="12.4" customHeight="1" x14ac:dyDescent="0.25">
      <c r="A64" s="30">
        <v>2</v>
      </c>
      <c r="B64" s="30">
        <v>2</v>
      </c>
      <c r="C64" s="30">
        <v>1</v>
      </c>
      <c r="D64" s="136" t="s">
        <v>28</v>
      </c>
      <c r="E64" s="136"/>
      <c r="F64" s="84" t="s">
        <v>329</v>
      </c>
      <c r="G64" s="30" t="s">
        <v>21</v>
      </c>
      <c r="H64" s="30" t="s">
        <v>18</v>
      </c>
      <c r="I64" s="57" t="s">
        <v>19</v>
      </c>
      <c r="J64" s="60">
        <v>925</v>
      </c>
      <c r="K64" s="60">
        <v>60</v>
      </c>
      <c r="L64" s="60">
        <f>60+128</f>
        <v>188</v>
      </c>
      <c r="M64" s="60">
        <f>188+140</f>
        <v>328</v>
      </c>
      <c r="N64" s="60">
        <f>154+328</f>
        <v>482</v>
      </c>
      <c r="O64" s="60">
        <f>482+42</f>
        <v>524</v>
      </c>
      <c r="P64" s="60">
        <v>524</v>
      </c>
      <c r="Q64" s="56"/>
      <c r="R64" s="53">
        <f t="shared" ref="R64" si="6">+SUM(S64:V64)</f>
        <v>16840000000</v>
      </c>
      <c r="S64" s="53">
        <v>4280000000</v>
      </c>
      <c r="T64" s="59">
        <v>4280000000</v>
      </c>
      <c r="U64" s="59">
        <v>4280000000</v>
      </c>
      <c r="V64" s="59">
        <v>4000000000</v>
      </c>
    </row>
    <row r="65" spans="1:22" ht="12.4" customHeight="1" x14ac:dyDescent="0.25">
      <c r="A65" s="30">
        <v>2</v>
      </c>
      <c r="B65" s="30">
        <v>2</v>
      </c>
      <c r="C65" s="30">
        <v>1</v>
      </c>
      <c r="D65" s="136" t="s">
        <v>28</v>
      </c>
      <c r="E65" s="136"/>
      <c r="F65" s="84" t="s">
        <v>330</v>
      </c>
      <c r="G65" s="30" t="s">
        <v>21</v>
      </c>
      <c r="H65" s="30" t="s">
        <v>18</v>
      </c>
      <c r="I65" s="156" t="s">
        <v>19</v>
      </c>
      <c r="J65" s="60">
        <v>4</v>
      </c>
      <c r="K65" s="60">
        <v>2</v>
      </c>
      <c r="L65" s="60">
        <v>4</v>
      </c>
      <c r="M65" s="60">
        <v>6</v>
      </c>
      <c r="N65" s="60">
        <v>8</v>
      </c>
      <c r="O65" s="60">
        <v>8</v>
      </c>
      <c r="P65" s="60">
        <v>8</v>
      </c>
      <c r="Q65" s="56"/>
      <c r="R65" s="53"/>
      <c r="S65" s="53"/>
      <c r="T65" s="59"/>
      <c r="U65" s="59"/>
      <c r="V65" s="59"/>
    </row>
    <row r="66" spans="1:22" ht="12.4" customHeight="1" x14ac:dyDescent="0.25">
      <c r="A66" s="30">
        <v>2</v>
      </c>
      <c r="B66" s="30">
        <v>2</v>
      </c>
      <c r="C66" s="30">
        <v>1</v>
      </c>
      <c r="D66" s="50" t="s">
        <v>38</v>
      </c>
      <c r="E66" s="50"/>
      <c r="F66" s="84" t="s">
        <v>331</v>
      </c>
      <c r="G66" s="30" t="s">
        <v>17</v>
      </c>
      <c r="H66" s="57" t="s">
        <v>22</v>
      </c>
      <c r="I66" s="57" t="s">
        <v>19</v>
      </c>
      <c r="J66" s="244">
        <v>0.5</v>
      </c>
      <c r="K66" s="140">
        <v>1</v>
      </c>
      <c r="L66" s="140">
        <v>1</v>
      </c>
      <c r="M66" s="140">
        <v>1</v>
      </c>
      <c r="N66" s="140">
        <v>1</v>
      </c>
      <c r="O66" s="140">
        <v>1</v>
      </c>
      <c r="P66" s="140">
        <v>1</v>
      </c>
      <c r="Q66" s="52"/>
      <c r="R66" s="53"/>
      <c r="S66" s="53"/>
      <c r="T66" s="59"/>
      <c r="U66" s="59"/>
      <c r="V66" s="59"/>
    </row>
    <row r="67" spans="1:22" ht="12.4" customHeight="1" x14ac:dyDescent="0.25">
      <c r="A67" s="30">
        <v>2</v>
      </c>
      <c r="B67" s="30">
        <v>2</v>
      </c>
      <c r="C67" s="30">
        <v>1</v>
      </c>
      <c r="D67" s="136" t="s">
        <v>28</v>
      </c>
      <c r="E67" s="136"/>
      <c r="F67" s="84" t="s">
        <v>332</v>
      </c>
      <c r="G67" s="30" t="s">
        <v>21</v>
      </c>
      <c r="H67" s="30" t="s">
        <v>18</v>
      </c>
      <c r="I67" s="57" t="s">
        <v>23</v>
      </c>
      <c r="J67" s="60">
        <v>4</v>
      </c>
      <c r="K67" s="60">
        <v>4</v>
      </c>
      <c r="L67" s="60">
        <v>4</v>
      </c>
      <c r="M67" s="60">
        <v>4</v>
      </c>
      <c r="N67" s="60">
        <v>4</v>
      </c>
      <c r="O67" s="60">
        <v>4</v>
      </c>
      <c r="P67" s="60">
        <v>4</v>
      </c>
      <c r="Q67" s="52"/>
      <c r="R67" s="53"/>
      <c r="S67" s="53"/>
      <c r="T67" s="59"/>
      <c r="U67" s="59"/>
      <c r="V67" s="59"/>
    </row>
    <row r="68" spans="1:22" ht="12.4" customHeight="1" x14ac:dyDescent="0.25">
      <c r="A68" s="30">
        <v>2</v>
      </c>
      <c r="B68" s="30">
        <v>2</v>
      </c>
      <c r="C68" s="30">
        <v>1</v>
      </c>
      <c r="D68" s="136" t="s">
        <v>28</v>
      </c>
      <c r="E68" s="136"/>
      <c r="F68" s="84" t="s">
        <v>333</v>
      </c>
      <c r="G68" s="30" t="s">
        <v>21</v>
      </c>
      <c r="H68" s="30" t="s">
        <v>18</v>
      </c>
      <c r="I68" s="57" t="s">
        <v>23</v>
      </c>
      <c r="J68" s="60">
        <v>46</v>
      </c>
      <c r="K68" s="60">
        <v>46</v>
      </c>
      <c r="L68" s="60">
        <v>46</v>
      </c>
      <c r="M68" s="60">
        <v>46</v>
      </c>
      <c r="N68" s="60">
        <v>46</v>
      </c>
      <c r="O68" s="60">
        <v>46</v>
      </c>
      <c r="P68" s="60">
        <v>46</v>
      </c>
      <c r="Q68" s="52"/>
      <c r="R68" s="53"/>
      <c r="S68" s="53"/>
      <c r="T68" s="59"/>
      <c r="U68" s="59"/>
      <c r="V68" s="59"/>
    </row>
    <row r="69" spans="1:22" ht="12.4" customHeight="1" x14ac:dyDescent="0.25">
      <c r="A69" s="30">
        <v>2</v>
      </c>
      <c r="B69" s="30">
        <v>2</v>
      </c>
      <c r="C69" s="30">
        <v>1</v>
      </c>
      <c r="D69" s="136" t="s">
        <v>28</v>
      </c>
      <c r="E69" s="136"/>
      <c r="F69" s="84" t="s">
        <v>334</v>
      </c>
      <c r="G69" s="30" t="s">
        <v>21</v>
      </c>
      <c r="H69" s="30" t="s">
        <v>18</v>
      </c>
      <c r="I69" s="57" t="s">
        <v>19</v>
      </c>
      <c r="J69" s="60">
        <v>30</v>
      </c>
      <c r="K69" s="60">
        <v>30</v>
      </c>
      <c r="L69" s="60">
        <f>30+33</f>
        <v>63</v>
      </c>
      <c r="M69" s="60">
        <f>63+36</f>
        <v>99</v>
      </c>
      <c r="N69" s="60">
        <f>99+39</f>
        <v>138</v>
      </c>
      <c r="O69" s="60">
        <f>138+10</f>
        <v>148</v>
      </c>
      <c r="P69" s="60">
        <f>138+10</f>
        <v>148</v>
      </c>
      <c r="Q69" s="159"/>
      <c r="R69" s="53"/>
      <c r="S69" s="53"/>
      <c r="T69" s="59"/>
      <c r="U69" s="59"/>
      <c r="V69" s="59"/>
    </row>
    <row r="70" spans="1:22" s="71" customFormat="1" ht="12.4" customHeight="1" x14ac:dyDescent="0.25">
      <c r="A70" s="78">
        <v>2</v>
      </c>
      <c r="B70" s="78">
        <v>2</v>
      </c>
      <c r="C70" s="78">
        <v>2</v>
      </c>
      <c r="D70" s="79" t="s">
        <v>2</v>
      </c>
      <c r="E70" s="79"/>
      <c r="F70" s="80" t="s">
        <v>335</v>
      </c>
      <c r="G70" s="78"/>
      <c r="H70" s="78"/>
      <c r="I70" s="78"/>
      <c r="J70" s="78"/>
      <c r="K70" s="81"/>
      <c r="L70" s="81"/>
      <c r="M70" s="81"/>
      <c r="N70" s="81"/>
      <c r="O70" s="81"/>
      <c r="P70" s="81"/>
      <c r="Q70" s="82"/>
      <c r="R70" s="83" t="e">
        <f>+R71+#REF!+R78</f>
        <v>#REF!</v>
      </c>
      <c r="S70" s="83" t="e">
        <f>+S71+#REF!+S78</f>
        <v>#REF!</v>
      </c>
      <c r="T70" s="83" t="e">
        <f>+T71+#REF!+T78</f>
        <v>#REF!</v>
      </c>
      <c r="U70" s="83" t="e">
        <f>+U71+#REF!+U78</f>
        <v>#REF!</v>
      </c>
      <c r="V70" s="83" t="e">
        <f>+V71+#REF!+V78</f>
        <v>#REF!</v>
      </c>
    </row>
    <row r="71" spans="1:22" ht="12.4" customHeight="1" x14ac:dyDescent="0.25">
      <c r="A71" s="30">
        <v>2</v>
      </c>
      <c r="B71" s="30">
        <v>2</v>
      </c>
      <c r="C71" s="30">
        <v>2</v>
      </c>
      <c r="D71" s="50" t="s">
        <v>38</v>
      </c>
      <c r="E71" s="50"/>
      <c r="F71" s="54" t="s">
        <v>336</v>
      </c>
      <c r="G71" s="57" t="s">
        <v>17</v>
      </c>
      <c r="H71" s="57" t="s">
        <v>22</v>
      </c>
      <c r="I71" s="57" t="s">
        <v>19</v>
      </c>
      <c r="J71" s="140">
        <v>0.32</v>
      </c>
      <c r="K71" s="140">
        <v>0.52</v>
      </c>
      <c r="L71" s="140">
        <v>0.72</v>
      </c>
      <c r="M71" s="140">
        <v>0.82</v>
      </c>
      <c r="N71" s="140">
        <v>1</v>
      </c>
      <c r="O71" s="140">
        <v>1</v>
      </c>
      <c r="P71" s="140">
        <v>1</v>
      </c>
      <c r="Q71" s="61"/>
      <c r="R71" s="59">
        <f>+SUM(R73:R73)</f>
        <v>16840000000</v>
      </c>
      <c r="S71" s="59">
        <f>+SUM(S73:S73)</f>
        <v>4280000000</v>
      </c>
      <c r="T71" s="59">
        <f>+SUM(T73:T73)</f>
        <v>4280000000</v>
      </c>
      <c r="U71" s="59">
        <f>+SUM(U73:U73)</f>
        <v>4280000000</v>
      </c>
      <c r="V71" s="59">
        <f>+SUM(V73:V73)</f>
        <v>4000000000</v>
      </c>
    </row>
    <row r="72" spans="1:22" ht="12.4" customHeight="1" x14ac:dyDescent="0.25">
      <c r="A72" s="30">
        <v>2</v>
      </c>
      <c r="B72" s="30">
        <v>2</v>
      </c>
      <c r="C72" s="30">
        <v>2</v>
      </c>
      <c r="D72" s="50" t="s">
        <v>38</v>
      </c>
      <c r="E72" s="50"/>
      <c r="F72" s="84" t="s">
        <v>337</v>
      </c>
      <c r="G72" s="30" t="s">
        <v>17</v>
      </c>
      <c r="H72" s="30" t="s">
        <v>18</v>
      </c>
      <c r="I72" s="57" t="s">
        <v>19</v>
      </c>
      <c r="J72" s="60">
        <v>23</v>
      </c>
      <c r="K72" s="60">
        <v>28</v>
      </c>
      <c r="L72" s="60">
        <f>28+30</f>
        <v>58</v>
      </c>
      <c r="M72" s="60">
        <f>58+31</f>
        <v>89</v>
      </c>
      <c r="N72" s="60">
        <f>89+32</f>
        <v>121</v>
      </c>
      <c r="O72" s="60">
        <f>121+33</f>
        <v>154</v>
      </c>
      <c r="P72" s="60">
        <f>121+33</f>
        <v>154</v>
      </c>
      <c r="Q72" s="56"/>
      <c r="R72" s="53">
        <f t="shared" ref="R72:R73" si="7">+SUM(S72:V72)</f>
        <v>16840000000</v>
      </c>
      <c r="S72" s="53">
        <v>4280000000</v>
      </c>
      <c r="T72" s="59">
        <v>4280000000</v>
      </c>
      <c r="U72" s="59">
        <v>4280000000</v>
      </c>
      <c r="V72" s="59">
        <v>4000000000</v>
      </c>
    </row>
    <row r="73" spans="1:22" ht="12.4" customHeight="1" x14ac:dyDescent="0.25">
      <c r="A73" s="30">
        <v>2</v>
      </c>
      <c r="B73" s="30">
        <v>2</v>
      </c>
      <c r="C73" s="30">
        <v>2</v>
      </c>
      <c r="D73" s="50" t="s">
        <v>38</v>
      </c>
      <c r="E73" s="50"/>
      <c r="F73" s="84" t="s">
        <v>338</v>
      </c>
      <c r="G73" s="30" t="s">
        <v>17</v>
      </c>
      <c r="H73" s="57" t="s">
        <v>18</v>
      </c>
      <c r="I73" s="57" t="s">
        <v>19</v>
      </c>
      <c r="J73" s="60">
        <v>9</v>
      </c>
      <c r="K73" s="60">
        <v>22</v>
      </c>
      <c r="L73" s="60">
        <f>K73+22</f>
        <v>44</v>
      </c>
      <c r="M73" s="60">
        <f>22+L73</f>
        <v>66</v>
      </c>
      <c r="N73" s="60">
        <f>23+M73</f>
        <v>89</v>
      </c>
      <c r="O73" s="60">
        <f>89+3</f>
        <v>92</v>
      </c>
      <c r="P73" s="60">
        <f>89+3</f>
        <v>92</v>
      </c>
      <c r="Q73" s="56"/>
      <c r="R73" s="53">
        <f t="shared" si="7"/>
        <v>16840000000</v>
      </c>
      <c r="S73" s="53">
        <v>4280000000</v>
      </c>
      <c r="T73" s="59">
        <v>4280000000</v>
      </c>
      <c r="U73" s="59">
        <v>4280000000</v>
      </c>
      <c r="V73" s="59">
        <v>4000000000</v>
      </c>
    </row>
    <row r="74" spans="1:22" s="71" customFormat="1" ht="12.4" customHeight="1" x14ac:dyDescent="0.25">
      <c r="A74" s="72">
        <v>2</v>
      </c>
      <c r="B74" s="72">
        <v>3</v>
      </c>
      <c r="C74" s="72">
        <v>0</v>
      </c>
      <c r="D74" s="73" t="s">
        <v>1</v>
      </c>
      <c r="E74" s="73"/>
      <c r="F74" s="74" t="s">
        <v>339</v>
      </c>
      <c r="G74" s="72"/>
      <c r="H74" s="72"/>
      <c r="I74" s="72"/>
      <c r="J74" s="72"/>
      <c r="K74" s="75"/>
      <c r="L74" s="75"/>
      <c r="M74" s="75"/>
      <c r="N74" s="75"/>
      <c r="O74" s="75"/>
      <c r="P74" s="75"/>
      <c r="Q74" s="76"/>
      <c r="R74" s="77" t="e">
        <f>+R75+#REF!+#REF!+#REF!</f>
        <v>#REF!</v>
      </c>
      <c r="S74" s="77" t="e">
        <f>+S75+#REF!+#REF!+#REF!</f>
        <v>#REF!</v>
      </c>
      <c r="T74" s="77" t="e">
        <f>+T75+#REF!+#REF!+#REF!</f>
        <v>#REF!</v>
      </c>
      <c r="U74" s="77" t="e">
        <f>+U75+#REF!+#REF!+#REF!</f>
        <v>#REF!</v>
      </c>
      <c r="V74" s="77" t="e">
        <f>+V75+#REF!+#REF!+#REF!</f>
        <v>#REF!</v>
      </c>
    </row>
    <row r="75" spans="1:22" s="71" customFormat="1" ht="12.4" customHeight="1" x14ac:dyDescent="0.25">
      <c r="A75" s="78">
        <v>2</v>
      </c>
      <c r="B75" s="78">
        <v>3</v>
      </c>
      <c r="C75" s="78">
        <v>1</v>
      </c>
      <c r="D75" s="79" t="s">
        <v>2</v>
      </c>
      <c r="E75" s="79"/>
      <c r="F75" s="80" t="s">
        <v>340</v>
      </c>
      <c r="G75" s="78"/>
      <c r="H75" s="78"/>
      <c r="I75" s="78"/>
      <c r="J75" s="78"/>
      <c r="K75" s="81"/>
      <c r="L75" s="81"/>
      <c r="M75" s="81"/>
      <c r="N75" s="81"/>
      <c r="O75" s="81"/>
      <c r="P75" s="81"/>
      <c r="Q75" s="82"/>
      <c r="R75" s="83" t="e">
        <f>+R76+#REF!</f>
        <v>#REF!</v>
      </c>
      <c r="S75" s="83" t="e">
        <f>+S76+#REF!</f>
        <v>#REF!</v>
      </c>
      <c r="T75" s="83" t="e">
        <f>+T76+#REF!</f>
        <v>#REF!</v>
      </c>
      <c r="U75" s="83" t="e">
        <f>+U76+#REF!</f>
        <v>#REF!</v>
      </c>
      <c r="V75" s="83" t="e">
        <f>+V76+#REF!</f>
        <v>#REF!</v>
      </c>
    </row>
    <row r="76" spans="1:22" s="21" customFormat="1" ht="12.4" customHeight="1" x14ac:dyDescent="0.25">
      <c r="A76" s="29">
        <v>2</v>
      </c>
      <c r="B76" s="29">
        <v>3</v>
      </c>
      <c r="C76" s="29">
        <v>1</v>
      </c>
      <c r="D76" s="50" t="s">
        <v>38</v>
      </c>
      <c r="E76" s="50"/>
      <c r="F76" s="54" t="s">
        <v>130</v>
      </c>
      <c r="G76" s="57" t="s">
        <v>17</v>
      </c>
      <c r="H76" s="30" t="s">
        <v>18</v>
      </c>
      <c r="I76" s="57" t="s">
        <v>19</v>
      </c>
      <c r="J76" s="60">
        <v>30</v>
      </c>
      <c r="K76" s="60">
        <v>35</v>
      </c>
      <c r="L76" s="60">
        <f>35+40</f>
        <v>75</v>
      </c>
      <c r="M76" s="60">
        <f>35+40+42</f>
        <v>117</v>
      </c>
      <c r="N76" s="60">
        <v>161</v>
      </c>
      <c r="O76" s="60">
        <v>165</v>
      </c>
      <c r="P76" s="60">
        <v>165</v>
      </c>
      <c r="Q76" s="49"/>
      <c r="R76" s="24" t="e">
        <f>+SUM(R77:R80)</f>
        <v>#REF!</v>
      </c>
      <c r="S76" s="24" t="e">
        <f>+SUM(S77:S80)</f>
        <v>#REF!</v>
      </c>
      <c r="T76" s="24" t="e">
        <f>+SUM(T77:T80)</f>
        <v>#REF!</v>
      </c>
      <c r="U76" s="24" t="e">
        <f>+SUM(U77:U80)</f>
        <v>#REF!</v>
      </c>
      <c r="V76" s="24" t="e">
        <f>+SUM(V77:V80)</f>
        <v>#REF!</v>
      </c>
    </row>
    <row r="77" spans="1:22" ht="12.4" customHeight="1" x14ac:dyDescent="0.25">
      <c r="A77" s="30">
        <v>2</v>
      </c>
      <c r="B77" s="30">
        <v>3</v>
      </c>
      <c r="C77" s="30">
        <v>1</v>
      </c>
      <c r="D77" s="50" t="s">
        <v>38</v>
      </c>
      <c r="E77" s="50"/>
      <c r="F77" s="54" t="s">
        <v>341</v>
      </c>
      <c r="G77" s="57" t="s">
        <v>17</v>
      </c>
      <c r="H77" s="30" t="s">
        <v>18</v>
      </c>
      <c r="I77" s="57" t="s">
        <v>19</v>
      </c>
      <c r="J77" s="60">
        <v>1</v>
      </c>
      <c r="K77" s="60">
        <v>2</v>
      </c>
      <c r="L77" s="60">
        <v>4</v>
      </c>
      <c r="M77" s="60">
        <v>6</v>
      </c>
      <c r="N77" s="60">
        <v>8</v>
      </c>
      <c r="O77" s="60">
        <v>9</v>
      </c>
      <c r="P77" s="60">
        <v>9</v>
      </c>
      <c r="Q77" s="61"/>
      <c r="R77" s="53">
        <f>+SUM(S77:V77)</f>
        <v>672945000</v>
      </c>
      <c r="S77" s="53">
        <v>145000000</v>
      </c>
      <c r="T77" s="59">
        <v>159500000</v>
      </c>
      <c r="U77" s="59">
        <v>175450000</v>
      </c>
      <c r="V77" s="59">
        <v>192995000.00000003</v>
      </c>
    </row>
    <row r="78" spans="1:22" ht="12.4" customHeight="1" x14ac:dyDescent="0.25">
      <c r="A78" s="30">
        <v>2</v>
      </c>
      <c r="B78" s="30">
        <v>3</v>
      </c>
      <c r="C78" s="30">
        <v>1</v>
      </c>
      <c r="D78" s="177" t="s">
        <v>15</v>
      </c>
      <c r="E78" s="177"/>
      <c r="F78" s="54" t="s">
        <v>342</v>
      </c>
      <c r="G78" s="57" t="s">
        <v>21</v>
      </c>
      <c r="H78" s="30" t="s">
        <v>18</v>
      </c>
      <c r="I78" s="57" t="s">
        <v>19</v>
      </c>
      <c r="J78" s="60">
        <v>53</v>
      </c>
      <c r="K78" s="60">
        <v>53</v>
      </c>
      <c r="L78" s="60">
        <v>53</v>
      </c>
      <c r="M78" s="60">
        <v>54</v>
      </c>
      <c r="N78" s="60">
        <v>55</v>
      </c>
      <c r="O78" s="60">
        <v>56</v>
      </c>
      <c r="P78" s="60">
        <v>56</v>
      </c>
      <c r="Q78" s="61"/>
      <c r="R78" s="53">
        <f>+SUM(S78:V78)</f>
        <v>1290198000</v>
      </c>
      <c r="S78" s="53">
        <v>278000000</v>
      </c>
      <c r="T78" s="59">
        <v>305800000</v>
      </c>
      <c r="U78" s="59">
        <v>336380000</v>
      </c>
      <c r="V78" s="59">
        <v>370018000.00000006</v>
      </c>
    </row>
    <row r="79" spans="1:22" ht="12" customHeight="1" x14ac:dyDescent="0.25">
      <c r="A79" s="30">
        <v>2</v>
      </c>
      <c r="B79" s="30">
        <v>3</v>
      </c>
      <c r="C79" s="30">
        <v>1</v>
      </c>
      <c r="D79" s="50" t="s">
        <v>38</v>
      </c>
      <c r="E79" s="50"/>
      <c r="F79" s="54" t="s">
        <v>343</v>
      </c>
      <c r="G79" s="57" t="s">
        <v>17</v>
      </c>
      <c r="H79" s="30" t="s">
        <v>18</v>
      </c>
      <c r="I79" s="57" t="s">
        <v>19</v>
      </c>
      <c r="J79" s="60">
        <v>193</v>
      </c>
      <c r="K79" s="60">
        <v>197</v>
      </c>
      <c r="L79" s="60">
        <v>200</v>
      </c>
      <c r="M79" s="60">
        <v>204</v>
      </c>
      <c r="N79" s="60">
        <v>206</v>
      </c>
      <c r="O79" s="60">
        <v>207</v>
      </c>
      <c r="P79" s="60">
        <v>207</v>
      </c>
      <c r="Q79" s="61"/>
      <c r="R79" s="53">
        <f>+SUM(S79:V79)</f>
        <v>139230000</v>
      </c>
      <c r="S79" s="53">
        <v>30000000</v>
      </c>
      <c r="T79" s="59">
        <v>33000000.000000004</v>
      </c>
      <c r="U79" s="59">
        <v>36300000.000000007</v>
      </c>
      <c r="V79" s="59">
        <v>39930000.000000015</v>
      </c>
    </row>
    <row r="80" spans="1:22" s="171" customFormat="1" ht="12.4" customHeight="1" x14ac:dyDescent="0.25">
      <c r="A80" s="165">
        <v>2</v>
      </c>
      <c r="B80" s="165">
        <v>3</v>
      </c>
      <c r="C80" s="165">
        <v>2</v>
      </c>
      <c r="D80" s="166" t="s">
        <v>2</v>
      </c>
      <c r="E80" s="166"/>
      <c r="F80" s="167" t="s">
        <v>344</v>
      </c>
      <c r="G80" s="165"/>
      <c r="H80" s="165"/>
      <c r="I80" s="165"/>
      <c r="J80" s="165"/>
      <c r="K80" s="168"/>
      <c r="L80" s="168"/>
      <c r="M80" s="168"/>
      <c r="N80" s="168"/>
      <c r="O80" s="168"/>
      <c r="P80" s="168"/>
      <c r="Q80" s="169"/>
      <c r="R80" s="170" t="e">
        <f>+#REF!+R93</f>
        <v>#REF!</v>
      </c>
      <c r="S80" s="170" t="e">
        <f>+#REF!+S93</f>
        <v>#REF!</v>
      </c>
      <c r="T80" s="170" t="e">
        <f>+#REF!+T93</f>
        <v>#REF!</v>
      </c>
      <c r="U80" s="170" t="e">
        <f>+#REF!+U93</f>
        <v>#REF!</v>
      </c>
      <c r="V80" s="170" t="e">
        <f>+#REF!+V93</f>
        <v>#REF!</v>
      </c>
    </row>
    <row r="81" spans="1:22" ht="12.4" customHeight="1" x14ac:dyDescent="0.25">
      <c r="A81" s="30">
        <v>2</v>
      </c>
      <c r="B81" s="30">
        <v>3</v>
      </c>
      <c r="C81" s="30">
        <v>2</v>
      </c>
      <c r="D81" s="177" t="s">
        <v>15</v>
      </c>
      <c r="E81" s="177"/>
      <c r="F81" s="54" t="s">
        <v>345</v>
      </c>
      <c r="G81" s="57" t="s">
        <v>21</v>
      </c>
      <c r="H81" s="57" t="s">
        <v>22</v>
      </c>
      <c r="I81" s="57" t="s">
        <v>40</v>
      </c>
      <c r="J81" s="140">
        <v>0</v>
      </c>
      <c r="K81" s="140">
        <v>0</v>
      </c>
      <c r="L81" s="140">
        <v>0.05</v>
      </c>
      <c r="M81" s="140">
        <v>0.1</v>
      </c>
      <c r="N81" s="140">
        <v>0.2</v>
      </c>
      <c r="O81" s="140">
        <v>0.2</v>
      </c>
      <c r="P81" s="140">
        <v>0.2</v>
      </c>
      <c r="Q81" s="61"/>
      <c r="R81" s="53"/>
      <c r="S81" s="53"/>
      <c r="T81" s="59"/>
      <c r="U81" s="59"/>
      <c r="V81" s="59"/>
    </row>
    <row r="82" spans="1:22" s="71" customFormat="1" ht="12.4" customHeight="1" x14ac:dyDescent="0.25">
      <c r="A82" s="78">
        <v>2</v>
      </c>
      <c r="B82" s="78">
        <v>3</v>
      </c>
      <c r="C82" s="78">
        <v>3</v>
      </c>
      <c r="D82" s="145" t="s">
        <v>2</v>
      </c>
      <c r="E82" s="145"/>
      <c r="F82" s="146" t="s">
        <v>346</v>
      </c>
      <c r="G82" s="78"/>
      <c r="H82" s="78"/>
      <c r="I82" s="78"/>
      <c r="J82" s="78"/>
      <c r="K82" s="81"/>
      <c r="L82" s="81"/>
      <c r="M82" s="81"/>
      <c r="N82" s="81"/>
      <c r="O82" s="81"/>
      <c r="P82" s="81"/>
      <c r="Q82" s="82"/>
      <c r="R82" s="83" t="e">
        <f>+#REF!+#REF!</f>
        <v>#REF!</v>
      </c>
      <c r="S82" s="83" t="e">
        <f>+#REF!+#REF!</f>
        <v>#REF!</v>
      </c>
      <c r="T82" s="83" t="e">
        <f>+#REF!+#REF!</f>
        <v>#REF!</v>
      </c>
      <c r="U82" s="83" t="e">
        <f>+#REF!+#REF!</f>
        <v>#REF!</v>
      </c>
      <c r="V82" s="83" t="e">
        <f>+#REF!+#REF!</f>
        <v>#REF!</v>
      </c>
    </row>
    <row r="83" spans="1:22" ht="12.4" customHeight="1" x14ac:dyDescent="0.25">
      <c r="A83" s="30">
        <v>2</v>
      </c>
      <c r="B83" s="30">
        <v>3</v>
      </c>
      <c r="C83" s="30">
        <v>3</v>
      </c>
      <c r="D83" s="50" t="s">
        <v>38</v>
      </c>
      <c r="E83" s="50"/>
      <c r="F83" s="54" t="s">
        <v>347</v>
      </c>
      <c r="G83" s="57" t="s">
        <v>21</v>
      </c>
      <c r="H83" s="30" t="s">
        <v>18</v>
      </c>
      <c r="I83" s="57" t="s">
        <v>19</v>
      </c>
      <c r="J83" s="60">
        <v>15</v>
      </c>
      <c r="K83" s="60">
        <v>15</v>
      </c>
      <c r="L83" s="60">
        <v>30</v>
      </c>
      <c r="M83" s="60">
        <v>45</v>
      </c>
      <c r="N83" s="60">
        <v>60</v>
      </c>
      <c r="O83" s="60">
        <v>63</v>
      </c>
      <c r="P83" s="60">
        <v>63</v>
      </c>
      <c r="Q83" s="61"/>
      <c r="R83" s="53">
        <f t="shared" ref="R83:R84" si="8">+SUM(S83:V83)</f>
        <v>1253070000</v>
      </c>
      <c r="S83" s="53">
        <v>270000000</v>
      </c>
      <c r="T83" s="59">
        <v>297000000</v>
      </c>
      <c r="U83" s="59">
        <v>326700000</v>
      </c>
      <c r="V83" s="59">
        <v>359370000</v>
      </c>
    </row>
    <row r="84" spans="1:22" ht="12.4" customHeight="1" x14ac:dyDescent="0.25">
      <c r="A84" s="30">
        <v>2</v>
      </c>
      <c r="B84" s="30">
        <v>3</v>
      </c>
      <c r="C84" s="30">
        <v>3</v>
      </c>
      <c r="D84" s="50" t="s">
        <v>38</v>
      </c>
      <c r="E84" s="50"/>
      <c r="F84" s="54" t="s">
        <v>348</v>
      </c>
      <c r="G84" s="57" t="s">
        <v>17</v>
      </c>
      <c r="H84" s="30" t="s">
        <v>18</v>
      </c>
      <c r="I84" s="57" t="s">
        <v>19</v>
      </c>
      <c r="J84" s="60">
        <v>3</v>
      </c>
      <c r="K84" s="60">
        <v>3</v>
      </c>
      <c r="L84" s="60">
        <f>3+4</f>
        <v>7</v>
      </c>
      <c r="M84" s="60">
        <f>7+4</f>
        <v>11</v>
      </c>
      <c r="N84" s="60">
        <f>11+5</f>
        <v>16</v>
      </c>
      <c r="O84" s="60">
        <f>11+5</f>
        <v>16</v>
      </c>
      <c r="P84" s="60">
        <f>11+5</f>
        <v>16</v>
      </c>
      <c r="Q84" s="61"/>
      <c r="R84" s="53">
        <f t="shared" si="8"/>
        <v>1253070000</v>
      </c>
      <c r="S84" s="53">
        <v>270000000</v>
      </c>
      <c r="T84" s="59">
        <v>297000000</v>
      </c>
      <c r="U84" s="59">
        <v>326700000</v>
      </c>
      <c r="V84" s="59">
        <v>359370000</v>
      </c>
    </row>
    <row r="85" spans="1:22" ht="12.4" customHeight="1" x14ac:dyDescent="0.25">
      <c r="A85" s="30">
        <v>2</v>
      </c>
      <c r="B85" s="30">
        <v>3</v>
      </c>
      <c r="C85" s="30">
        <v>3</v>
      </c>
      <c r="D85" s="50" t="s">
        <v>38</v>
      </c>
      <c r="E85" s="50"/>
      <c r="F85" s="54" t="s">
        <v>349</v>
      </c>
      <c r="G85" s="57" t="s">
        <v>21</v>
      </c>
      <c r="H85" s="30" t="s">
        <v>18</v>
      </c>
      <c r="I85" s="57" t="s">
        <v>19</v>
      </c>
      <c r="J85" s="60">
        <v>22</v>
      </c>
      <c r="K85" s="60">
        <v>22</v>
      </c>
      <c r="L85" s="60">
        <f>22+25</f>
        <v>47</v>
      </c>
      <c r="M85" s="60">
        <f>47+28</f>
        <v>75</v>
      </c>
      <c r="N85" s="60">
        <f>75+29</f>
        <v>104</v>
      </c>
      <c r="O85" s="60">
        <f>104+5</f>
        <v>109</v>
      </c>
      <c r="P85" s="60">
        <v>109</v>
      </c>
      <c r="Q85" s="61"/>
      <c r="R85" s="53"/>
      <c r="S85" s="53"/>
      <c r="T85" s="59"/>
      <c r="U85" s="59"/>
      <c r="V85" s="59"/>
    </row>
    <row r="86" spans="1:22" ht="12.4" customHeight="1" x14ac:dyDescent="0.25">
      <c r="A86" s="30">
        <v>2</v>
      </c>
      <c r="B86" s="30">
        <v>3</v>
      </c>
      <c r="C86" s="30">
        <v>3</v>
      </c>
      <c r="D86" s="50" t="s">
        <v>38</v>
      </c>
      <c r="E86" s="50"/>
      <c r="F86" s="54" t="s">
        <v>350</v>
      </c>
      <c r="G86" s="57" t="s">
        <v>17</v>
      </c>
      <c r="H86" s="30" t="s">
        <v>18</v>
      </c>
      <c r="I86" s="57" t="s">
        <v>19</v>
      </c>
      <c r="J86" s="60">
        <v>53</v>
      </c>
      <c r="K86" s="60">
        <v>0</v>
      </c>
      <c r="L86" s="60">
        <v>53</v>
      </c>
      <c r="M86" s="60">
        <f>53+53</f>
        <v>106</v>
      </c>
      <c r="N86" s="60">
        <f>106+53</f>
        <v>159</v>
      </c>
      <c r="O86" s="60">
        <f>159+53</f>
        <v>212</v>
      </c>
      <c r="P86" s="60">
        <v>212</v>
      </c>
      <c r="Q86" s="61"/>
      <c r="R86" s="53"/>
      <c r="S86" s="53"/>
      <c r="T86" s="59"/>
      <c r="U86" s="59"/>
      <c r="V86" s="59"/>
    </row>
    <row r="87" spans="1:22" ht="12.4" customHeight="1" x14ac:dyDescent="0.25">
      <c r="A87" s="30">
        <v>2</v>
      </c>
      <c r="B87" s="30">
        <v>3</v>
      </c>
      <c r="C87" s="30">
        <v>3</v>
      </c>
      <c r="D87" s="50" t="s">
        <v>38</v>
      </c>
      <c r="E87" s="50"/>
      <c r="F87" s="54" t="s">
        <v>351</v>
      </c>
      <c r="G87" s="57" t="s">
        <v>17</v>
      </c>
      <c r="H87" s="30" t="s">
        <v>18</v>
      </c>
      <c r="I87" s="57" t="s">
        <v>19</v>
      </c>
      <c r="J87" s="60">
        <v>2</v>
      </c>
      <c r="K87" s="60">
        <v>2</v>
      </c>
      <c r="L87" s="60">
        <v>3</v>
      </c>
      <c r="M87" s="60">
        <v>4</v>
      </c>
      <c r="N87" s="60">
        <v>5</v>
      </c>
      <c r="O87" s="60">
        <v>5</v>
      </c>
      <c r="P87" s="60">
        <v>6</v>
      </c>
      <c r="Q87" s="61"/>
      <c r="R87" s="53"/>
      <c r="S87" s="53"/>
      <c r="T87" s="59"/>
      <c r="U87" s="59"/>
      <c r="V87" s="59"/>
    </row>
    <row r="88" spans="1:22" s="71" customFormat="1" ht="11.25" customHeight="1" x14ac:dyDescent="0.25">
      <c r="A88" s="78">
        <v>2</v>
      </c>
      <c r="B88" s="78">
        <v>3</v>
      </c>
      <c r="C88" s="78">
        <v>4</v>
      </c>
      <c r="D88" s="145" t="s">
        <v>2</v>
      </c>
      <c r="E88" s="145"/>
      <c r="F88" s="146" t="s">
        <v>352</v>
      </c>
      <c r="G88" s="78"/>
      <c r="H88" s="78"/>
      <c r="I88" s="78"/>
      <c r="J88" s="78"/>
      <c r="K88" s="81"/>
      <c r="L88" s="81"/>
      <c r="M88" s="81"/>
      <c r="N88" s="81"/>
      <c r="O88" s="81"/>
      <c r="P88" s="81"/>
      <c r="Q88" s="82"/>
      <c r="R88" s="83" t="e">
        <f>+R93+#REF!</f>
        <v>#REF!</v>
      </c>
      <c r="S88" s="83" t="e">
        <f>+S93+#REF!</f>
        <v>#REF!</v>
      </c>
      <c r="T88" s="83" t="e">
        <f>+T93+#REF!</f>
        <v>#REF!</v>
      </c>
      <c r="U88" s="83" t="e">
        <f>+U93+#REF!</f>
        <v>#REF!</v>
      </c>
      <c r="V88" s="83" t="e">
        <f>+V93+#REF!</f>
        <v>#REF!</v>
      </c>
    </row>
    <row r="89" spans="1:22" ht="12.4" customHeight="1" x14ac:dyDescent="0.25">
      <c r="A89" s="30">
        <v>2</v>
      </c>
      <c r="B89" s="30">
        <v>3</v>
      </c>
      <c r="C89" s="30">
        <v>4</v>
      </c>
      <c r="D89" s="50" t="s">
        <v>38</v>
      </c>
      <c r="E89" s="50"/>
      <c r="F89" s="54" t="s">
        <v>92</v>
      </c>
      <c r="G89" s="57" t="s">
        <v>21</v>
      </c>
      <c r="H89" s="30" t="s">
        <v>18</v>
      </c>
      <c r="I89" s="57" t="s">
        <v>19</v>
      </c>
      <c r="J89" s="60">
        <v>20000</v>
      </c>
      <c r="K89" s="60">
        <v>20000</v>
      </c>
      <c r="L89" s="60">
        <v>20000</v>
      </c>
      <c r="M89" s="60">
        <v>21400</v>
      </c>
      <c r="N89" s="60">
        <v>22800</v>
      </c>
      <c r="O89" s="60">
        <v>24200</v>
      </c>
      <c r="P89" s="57">
        <v>24200</v>
      </c>
      <c r="Q89" s="61"/>
      <c r="R89" s="53">
        <f t="shared" ref="R89:R92" si="9">+SUM(S89:V89)</f>
        <v>3600000000</v>
      </c>
      <c r="S89" s="53">
        <v>1600000000</v>
      </c>
      <c r="T89" s="59">
        <v>900000000</v>
      </c>
      <c r="U89" s="59">
        <v>900000000</v>
      </c>
      <c r="V89" s="59">
        <v>200000000</v>
      </c>
    </row>
    <row r="90" spans="1:22" ht="12.4" customHeight="1" x14ac:dyDescent="0.25">
      <c r="A90" s="30">
        <v>2</v>
      </c>
      <c r="B90" s="30">
        <v>3</v>
      </c>
      <c r="C90" s="30">
        <v>4</v>
      </c>
      <c r="D90" s="50" t="s">
        <v>38</v>
      </c>
      <c r="E90" s="50"/>
      <c r="F90" s="54" t="s">
        <v>353</v>
      </c>
      <c r="G90" s="57" t="s">
        <v>21</v>
      </c>
      <c r="H90" s="30" t="s">
        <v>18</v>
      </c>
      <c r="I90" s="156" t="s">
        <v>23</v>
      </c>
      <c r="J90" s="60">
        <v>7000</v>
      </c>
      <c r="K90" s="60">
        <v>7000</v>
      </c>
      <c r="L90" s="60">
        <v>7000</v>
      </c>
      <c r="M90" s="60">
        <v>7000</v>
      </c>
      <c r="N90" s="60">
        <v>7000</v>
      </c>
      <c r="O90" s="60">
        <v>700</v>
      </c>
      <c r="P90" s="57">
        <v>7000</v>
      </c>
      <c r="Q90" s="61"/>
      <c r="R90" s="53">
        <f t="shared" si="9"/>
        <v>172366740</v>
      </c>
      <c r="S90" s="53">
        <v>37140000</v>
      </c>
      <c r="T90" s="59">
        <v>40854000</v>
      </c>
      <c r="U90" s="59">
        <v>44939400</v>
      </c>
      <c r="V90" s="59">
        <v>49433340.000000007</v>
      </c>
    </row>
    <row r="91" spans="1:22" ht="12.4" customHeight="1" x14ac:dyDescent="0.25">
      <c r="A91" s="30">
        <v>2</v>
      </c>
      <c r="B91" s="30">
        <v>3</v>
      </c>
      <c r="C91" s="30">
        <v>4</v>
      </c>
      <c r="D91" s="136" t="s">
        <v>28</v>
      </c>
      <c r="E91" s="136"/>
      <c r="F91" s="54" t="s">
        <v>354</v>
      </c>
      <c r="G91" s="57" t="s">
        <v>21</v>
      </c>
      <c r="H91" s="57" t="s">
        <v>22</v>
      </c>
      <c r="I91" s="156" t="s">
        <v>23</v>
      </c>
      <c r="J91" s="140">
        <v>0.51</v>
      </c>
      <c r="K91" s="140">
        <v>0.51</v>
      </c>
      <c r="L91" s="140">
        <v>0.51</v>
      </c>
      <c r="M91" s="140">
        <v>0.51</v>
      </c>
      <c r="N91" s="140">
        <v>0.51</v>
      </c>
      <c r="O91" s="140">
        <v>0.51</v>
      </c>
      <c r="P91" s="140">
        <v>0.51</v>
      </c>
      <c r="Q91" s="61"/>
      <c r="R91" s="53">
        <f t="shared" si="9"/>
        <v>172366740</v>
      </c>
      <c r="S91" s="53">
        <v>37140000</v>
      </c>
      <c r="T91" s="59">
        <v>40854000</v>
      </c>
      <c r="U91" s="59">
        <v>44939400</v>
      </c>
      <c r="V91" s="59">
        <v>49433340.000000007</v>
      </c>
    </row>
    <row r="92" spans="1:22" ht="12.4" customHeight="1" x14ac:dyDescent="0.25">
      <c r="A92" s="30">
        <v>2</v>
      </c>
      <c r="B92" s="30">
        <v>3</v>
      </c>
      <c r="C92" s="30">
        <v>4</v>
      </c>
      <c r="D92" s="136" t="s">
        <v>28</v>
      </c>
      <c r="E92" s="136"/>
      <c r="F92" s="54" t="s">
        <v>355</v>
      </c>
      <c r="G92" s="57" t="s">
        <v>17</v>
      </c>
      <c r="H92" s="30" t="s">
        <v>18</v>
      </c>
      <c r="I92" s="57" t="s">
        <v>40</v>
      </c>
      <c r="J92" s="60">
        <v>0</v>
      </c>
      <c r="K92" s="60">
        <v>0</v>
      </c>
      <c r="L92" s="60">
        <v>50</v>
      </c>
      <c r="M92" s="60">
        <f>70+50</f>
        <v>120</v>
      </c>
      <c r="N92" s="60">
        <f>120+85</f>
        <v>205</v>
      </c>
      <c r="O92" s="60">
        <f>205+25</f>
        <v>230</v>
      </c>
      <c r="P92" s="60">
        <v>230</v>
      </c>
      <c r="Q92" s="61"/>
      <c r="R92" s="53">
        <f t="shared" si="9"/>
        <v>172366740</v>
      </c>
      <c r="S92" s="53">
        <v>37140000</v>
      </c>
      <c r="T92" s="59">
        <v>40854000</v>
      </c>
      <c r="U92" s="59">
        <v>44939400</v>
      </c>
      <c r="V92" s="59">
        <v>49433340.000000007</v>
      </c>
    </row>
    <row r="93" spans="1:22" ht="12.4" customHeight="1" x14ac:dyDescent="0.25">
      <c r="A93" s="30">
        <v>2</v>
      </c>
      <c r="B93" s="30">
        <v>3</v>
      </c>
      <c r="C93" s="30">
        <v>4</v>
      </c>
      <c r="D93" s="135" t="s">
        <v>38</v>
      </c>
      <c r="E93" s="135"/>
      <c r="F93" s="54" t="s">
        <v>356</v>
      </c>
      <c r="G93" s="57" t="s">
        <v>17</v>
      </c>
      <c r="H93" s="30" t="s">
        <v>18</v>
      </c>
      <c r="I93" s="57" t="s">
        <v>40</v>
      </c>
      <c r="J93" s="60">
        <v>0</v>
      </c>
      <c r="K93" s="60">
        <v>0</v>
      </c>
      <c r="L93" s="60">
        <v>0</v>
      </c>
      <c r="M93" s="60">
        <v>0</v>
      </c>
      <c r="N93" s="60">
        <v>16</v>
      </c>
      <c r="O93" s="60">
        <v>16</v>
      </c>
      <c r="P93" s="60">
        <v>16</v>
      </c>
      <c r="Q93" s="61"/>
      <c r="R93" s="53">
        <f t="shared" ref="R93:R94" si="10">+SUM(S93:V93)</f>
        <v>3600000000</v>
      </c>
      <c r="S93" s="53">
        <v>1600000000</v>
      </c>
      <c r="T93" s="59">
        <v>900000000</v>
      </c>
      <c r="U93" s="59">
        <v>900000000</v>
      </c>
      <c r="V93" s="59">
        <v>200000000</v>
      </c>
    </row>
    <row r="94" spans="1:22" ht="12.4" customHeight="1" x14ac:dyDescent="0.25">
      <c r="A94" s="30">
        <v>2</v>
      </c>
      <c r="B94" s="30">
        <v>3</v>
      </c>
      <c r="C94" s="30">
        <v>4</v>
      </c>
      <c r="D94" s="136" t="s">
        <v>28</v>
      </c>
      <c r="E94" s="136"/>
      <c r="F94" s="54" t="s">
        <v>357</v>
      </c>
      <c r="G94" s="57" t="s">
        <v>17</v>
      </c>
      <c r="H94" s="30" t="s">
        <v>18</v>
      </c>
      <c r="I94" s="57" t="s">
        <v>40</v>
      </c>
      <c r="J94" s="60">
        <v>0</v>
      </c>
      <c r="K94" s="60">
        <v>200</v>
      </c>
      <c r="L94" s="60">
        <v>200</v>
      </c>
      <c r="M94" s="60">
        <v>200</v>
      </c>
      <c r="N94" s="60">
        <v>200</v>
      </c>
      <c r="O94" s="60">
        <v>200</v>
      </c>
      <c r="P94" s="57">
        <v>1000</v>
      </c>
      <c r="Q94" s="61"/>
      <c r="R94" s="53">
        <f t="shared" si="10"/>
        <v>172366740</v>
      </c>
      <c r="S94" s="53">
        <v>37140000</v>
      </c>
      <c r="T94" s="59">
        <v>40854000</v>
      </c>
      <c r="U94" s="59">
        <v>44939400</v>
      </c>
      <c r="V94" s="59">
        <v>49433340.000000007</v>
      </c>
    </row>
    <row r="95" spans="1:22" s="71" customFormat="1" ht="12.4" customHeight="1" x14ac:dyDescent="0.25">
      <c r="A95" s="87">
        <v>3</v>
      </c>
      <c r="B95" s="87">
        <v>0</v>
      </c>
      <c r="C95" s="87">
        <v>0</v>
      </c>
      <c r="D95" s="88" t="s">
        <v>0</v>
      </c>
      <c r="E95" s="88"/>
      <c r="F95" s="89" t="s">
        <v>132</v>
      </c>
      <c r="G95" s="87"/>
      <c r="H95" s="87"/>
      <c r="I95" s="87"/>
      <c r="J95" s="87"/>
      <c r="K95" s="90"/>
      <c r="L95" s="90"/>
      <c r="M95" s="90"/>
      <c r="N95" s="90"/>
      <c r="O95" s="90"/>
      <c r="P95" s="90"/>
      <c r="Q95" s="91"/>
      <c r="R95" s="92" t="e">
        <f>+R96+R108+R137</f>
        <v>#REF!</v>
      </c>
      <c r="S95" s="92" t="e">
        <f>+S96+S108+S137</f>
        <v>#REF!</v>
      </c>
      <c r="T95" s="92" t="e">
        <f>+T96+T108+T137</f>
        <v>#REF!</v>
      </c>
      <c r="U95" s="92" t="e">
        <f>+U96+U108+U137</f>
        <v>#REF!</v>
      </c>
      <c r="V95" s="92" t="e">
        <f>+V96+V108+V137</f>
        <v>#REF!</v>
      </c>
    </row>
    <row r="96" spans="1:22" s="21" customFormat="1" ht="12.4" customHeight="1" x14ac:dyDescent="0.25">
      <c r="A96" s="93">
        <v>3</v>
      </c>
      <c r="B96" s="93">
        <v>1</v>
      </c>
      <c r="C96" s="93">
        <v>0</v>
      </c>
      <c r="D96" s="94" t="s">
        <v>1</v>
      </c>
      <c r="E96" s="94"/>
      <c r="F96" s="95" t="s">
        <v>138</v>
      </c>
      <c r="G96" s="96"/>
      <c r="H96" s="96"/>
      <c r="I96" s="96"/>
      <c r="J96" s="96"/>
      <c r="K96" s="97"/>
      <c r="L96" s="97"/>
      <c r="M96" s="97"/>
      <c r="N96" s="97"/>
      <c r="O96" s="97"/>
      <c r="P96" s="97"/>
      <c r="Q96" s="98"/>
      <c r="R96" s="99" t="e">
        <f>+R97+#REF!+#REF!</f>
        <v>#REF!</v>
      </c>
      <c r="S96" s="99" t="e">
        <f>+S97+#REF!+#REF!</f>
        <v>#REF!</v>
      </c>
      <c r="T96" s="99" t="e">
        <f>+T97+#REF!+#REF!</f>
        <v>#REF!</v>
      </c>
      <c r="U96" s="99" t="e">
        <f>+U97+#REF!+#REF!</f>
        <v>#REF!</v>
      </c>
      <c r="V96" s="99" t="e">
        <f>+V97+#REF!+#REF!</f>
        <v>#REF!</v>
      </c>
    </row>
    <row r="97" spans="1:22" s="172" customFormat="1" ht="12" customHeight="1" x14ac:dyDescent="0.25">
      <c r="A97" s="100">
        <v>3</v>
      </c>
      <c r="B97" s="100">
        <v>1</v>
      </c>
      <c r="C97" s="100">
        <v>1</v>
      </c>
      <c r="D97" s="101" t="s">
        <v>2</v>
      </c>
      <c r="E97" s="101"/>
      <c r="F97" s="102" t="s">
        <v>145</v>
      </c>
      <c r="G97" s="103"/>
      <c r="H97" s="103"/>
      <c r="I97" s="103"/>
      <c r="J97" s="103"/>
      <c r="K97" s="104"/>
      <c r="L97" s="104"/>
      <c r="M97" s="104"/>
      <c r="N97" s="104"/>
      <c r="O97" s="104"/>
      <c r="P97" s="104"/>
      <c r="Q97" s="105"/>
      <c r="R97" s="106" t="e">
        <f>+R98+#REF!+#REF!+#REF!</f>
        <v>#REF!</v>
      </c>
      <c r="S97" s="106" t="e">
        <f>+S98+#REF!+#REF!+#REF!</f>
        <v>#REF!</v>
      </c>
      <c r="T97" s="106" t="e">
        <f>+T98+#REF!+#REF!+#REF!</f>
        <v>#REF!</v>
      </c>
      <c r="U97" s="106" t="e">
        <f>+U98+#REF!+#REF!+#REF!</f>
        <v>#REF!</v>
      </c>
      <c r="V97" s="106" t="e">
        <f>+V98+#REF!+#REF!+#REF!</f>
        <v>#REF!</v>
      </c>
    </row>
    <row r="98" spans="1:22" s="21" customFormat="1" ht="12.4" customHeight="1" x14ac:dyDescent="0.25">
      <c r="A98" s="30">
        <v>3</v>
      </c>
      <c r="B98" s="30">
        <v>1</v>
      </c>
      <c r="C98" s="30">
        <v>1</v>
      </c>
      <c r="D98" s="136" t="s">
        <v>28</v>
      </c>
      <c r="E98" s="136"/>
      <c r="F98" s="54" t="s">
        <v>146</v>
      </c>
      <c r="G98" s="57" t="s">
        <v>17</v>
      </c>
      <c r="H98" s="57" t="s">
        <v>22</v>
      </c>
      <c r="I98" s="57" t="s">
        <v>19</v>
      </c>
      <c r="J98" s="140">
        <v>0</v>
      </c>
      <c r="K98" s="140">
        <v>0.9</v>
      </c>
      <c r="L98" s="140">
        <v>0.9</v>
      </c>
      <c r="M98" s="140">
        <v>0.9</v>
      </c>
      <c r="N98" s="140">
        <v>0.9</v>
      </c>
      <c r="O98" s="140">
        <v>0.9</v>
      </c>
      <c r="P98" s="140">
        <v>0.9</v>
      </c>
      <c r="Q98" s="49"/>
      <c r="R98" s="24" t="e">
        <f>+SUM(R102:R107)</f>
        <v>#REF!</v>
      </c>
      <c r="S98" s="24" t="e">
        <f>+SUM(S102:S107)</f>
        <v>#REF!</v>
      </c>
      <c r="T98" s="24" t="e">
        <f>+SUM(T102:T107)</f>
        <v>#REF!</v>
      </c>
      <c r="U98" s="24" t="e">
        <f>+SUM(U102:U107)</f>
        <v>#REF!</v>
      </c>
      <c r="V98" s="24" t="e">
        <f>+SUM(V102:V107)</f>
        <v>#REF!</v>
      </c>
    </row>
    <row r="99" spans="1:22" s="21" customFormat="1" ht="12.4" customHeight="1" x14ac:dyDescent="0.25">
      <c r="A99" s="30">
        <v>3</v>
      </c>
      <c r="B99" s="30">
        <v>1</v>
      </c>
      <c r="C99" s="30">
        <v>1</v>
      </c>
      <c r="D99" s="136" t="s">
        <v>28</v>
      </c>
      <c r="E99" s="136"/>
      <c r="F99" s="54" t="s">
        <v>140</v>
      </c>
      <c r="G99" s="57" t="s">
        <v>21</v>
      </c>
      <c r="H99" s="30" t="s">
        <v>18</v>
      </c>
      <c r="I99" s="57" t="s">
        <v>19</v>
      </c>
      <c r="J99" s="60">
        <v>4</v>
      </c>
      <c r="K99" s="60">
        <v>4</v>
      </c>
      <c r="L99" s="60">
        <v>4.0999999999999996</v>
      </c>
      <c r="M99" s="60">
        <v>4.2</v>
      </c>
      <c r="N99" s="60">
        <v>4.2</v>
      </c>
      <c r="O99" s="60">
        <v>4.2</v>
      </c>
      <c r="P99" s="60">
        <v>4.2</v>
      </c>
      <c r="Q99" s="49"/>
      <c r="R99" s="24"/>
      <c r="S99" s="24"/>
      <c r="T99" s="24"/>
      <c r="U99" s="24"/>
      <c r="V99" s="24"/>
    </row>
    <row r="100" spans="1:22" s="21" customFormat="1" ht="12.4" customHeight="1" x14ac:dyDescent="0.25">
      <c r="A100" s="30">
        <v>3</v>
      </c>
      <c r="B100" s="30">
        <v>1</v>
      </c>
      <c r="C100" s="30">
        <v>1</v>
      </c>
      <c r="D100" s="136" t="s">
        <v>28</v>
      </c>
      <c r="E100" s="136"/>
      <c r="F100" s="54" t="s">
        <v>141</v>
      </c>
      <c r="G100" s="57" t="s">
        <v>21</v>
      </c>
      <c r="H100" s="30" t="s">
        <v>18</v>
      </c>
      <c r="I100" s="57" t="s">
        <v>19</v>
      </c>
      <c r="J100" s="60">
        <v>4.2</v>
      </c>
      <c r="K100" s="60">
        <v>4.2</v>
      </c>
      <c r="L100" s="60">
        <v>4.2</v>
      </c>
      <c r="M100" s="60">
        <v>4.2</v>
      </c>
      <c r="N100" s="60">
        <v>4.3</v>
      </c>
      <c r="O100" s="60">
        <v>4.3</v>
      </c>
      <c r="P100" s="60">
        <v>4.3</v>
      </c>
      <c r="Q100" s="49"/>
      <c r="R100" s="24"/>
      <c r="S100" s="24"/>
      <c r="T100" s="24"/>
      <c r="U100" s="24"/>
      <c r="V100" s="24"/>
    </row>
    <row r="101" spans="1:22" s="21" customFormat="1" ht="12.4" customHeight="1" x14ac:dyDescent="0.25">
      <c r="A101" s="30">
        <v>3</v>
      </c>
      <c r="B101" s="30">
        <v>1</v>
      </c>
      <c r="C101" s="30">
        <v>1</v>
      </c>
      <c r="D101" s="136" t="s">
        <v>28</v>
      </c>
      <c r="E101" s="136"/>
      <c r="F101" s="54" t="s">
        <v>358</v>
      </c>
      <c r="G101" s="57" t="s">
        <v>21</v>
      </c>
      <c r="H101" s="57" t="s">
        <v>22</v>
      </c>
      <c r="I101" s="57" t="s">
        <v>23</v>
      </c>
      <c r="J101" s="140">
        <v>0.81</v>
      </c>
      <c r="K101" s="140">
        <v>0.81</v>
      </c>
      <c r="L101" s="140">
        <v>0.81</v>
      </c>
      <c r="M101" s="140">
        <v>0.81</v>
      </c>
      <c r="N101" s="140">
        <v>0.81</v>
      </c>
      <c r="O101" s="140">
        <v>0.81</v>
      </c>
      <c r="P101" s="140">
        <v>0.81</v>
      </c>
      <c r="Q101" s="49"/>
      <c r="R101" s="24"/>
      <c r="S101" s="24"/>
      <c r="T101" s="24"/>
      <c r="U101" s="24"/>
      <c r="V101" s="24"/>
    </row>
    <row r="102" spans="1:22" s="21" customFormat="1" ht="12.4" customHeight="1" x14ac:dyDescent="0.25">
      <c r="A102" s="30">
        <v>3</v>
      </c>
      <c r="B102" s="30">
        <v>1</v>
      </c>
      <c r="C102" s="30">
        <v>1</v>
      </c>
      <c r="D102" s="50" t="s">
        <v>38</v>
      </c>
      <c r="E102" s="50"/>
      <c r="F102" s="54" t="s">
        <v>359</v>
      </c>
      <c r="G102" s="57" t="s">
        <v>21</v>
      </c>
      <c r="H102" s="57" t="s">
        <v>22</v>
      </c>
      <c r="I102" s="57" t="s">
        <v>40</v>
      </c>
      <c r="J102" s="140">
        <v>0</v>
      </c>
      <c r="K102" s="140">
        <v>0.15</v>
      </c>
      <c r="L102" s="140">
        <v>0.4</v>
      </c>
      <c r="M102" s="140">
        <v>0.6</v>
      </c>
      <c r="N102" s="140">
        <v>0.85</v>
      </c>
      <c r="O102" s="140">
        <v>0.9</v>
      </c>
      <c r="P102" s="140">
        <v>0.9</v>
      </c>
      <c r="Q102" s="49"/>
      <c r="R102" s="24"/>
      <c r="S102" s="24"/>
      <c r="T102" s="24"/>
      <c r="U102" s="24"/>
      <c r="V102" s="24"/>
    </row>
    <row r="103" spans="1:22" ht="12.4" customHeight="1" x14ac:dyDescent="0.25">
      <c r="A103" s="30">
        <v>3</v>
      </c>
      <c r="B103" s="30">
        <v>1</v>
      </c>
      <c r="C103" s="30">
        <v>1</v>
      </c>
      <c r="D103" s="135" t="s">
        <v>38</v>
      </c>
      <c r="E103" s="135"/>
      <c r="F103" s="54" t="s">
        <v>148</v>
      </c>
      <c r="G103" s="57" t="s">
        <v>17</v>
      </c>
      <c r="H103" s="30" t="s">
        <v>18</v>
      </c>
      <c r="I103" s="57" t="s">
        <v>23</v>
      </c>
      <c r="J103" s="60">
        <v>4.5</v>
      </c>
      <c r="K103" s="60">
        <v>4.5</v>
      </c>
      <c r="L103" s="60">
        <v>4.5</v>
      </c>
      <c r="M103" s="60">
        <v>4.5</v>
      </c>
      <c r="N103" s="60">
        <v>4.5</v>
      </c>
      <c r="O103" s="60">
        <v>4.5</v>
      </c>
      <c r="P103" s="60">
        <v>4.5</v>
      </c>
      <c r="Q103" s="61"/>
      <c r="R103" s="53">
        <f t="shared" ref="R103" si="11">+SUM(S103:V103)</f>
        <v>3017566592</v>
      </c>
      <c r="S103" s="53">
        <v>1017566592</v>
      </c>
      <c r="T103" s="59">
        <v>2000000000</v>
      </c>
      <c r="U103" s="59">
        <v>0</v>
      </c>
      <c r="V103" s="59">
        <v>0</v>
      </c>
    </row>
    <row r="104" spans="1:22" ht="12.4" customHeight="1" x14ac:dyDescent="0.25">
      <c r="A104" s="30">
        <v>3</v>
      </c>
      <c r="B104" s="30">
        <v>1</v>
      </c>
      <c r="C104" s="30">
        <v>1</v>
      </c>
      <c r="D104" s="135" t="s">
        <v>38</v>
      </c>
      <c r="E104" s="135"/>
      <c r="F104" s="54" t="s">
        <v>360</v>
      </c>
      <c r="G104" s="57" t="s">
        <v>17</v>
      </c>
      <c r="H104" s="30" t="s">
        <v>18</v>
      </c>
      <c r="I104" s="57" t="s">
        <v>19</v>
      </c>
      <c r="J104" s="60">
        <v>2</v>
      </c>
      <c r="K104" s="60">
        <v>2</v>
      </c>
      <c r="L104" s="60">
        <v>3</v>
      </c>
      <c r="M104" s="60">
        <v>3</v>
      </c>
      <c r="N104" s="60">
        <v>3</v>
      </c>
      <c r="O104" s="60">
        <v>3</v>
      </c>
      <c r="P104" s="60">
        <v>3</v>
      </c>
      <c r="Q104" s="61"/>
      <c r="R104" s="53"/>
      <c r="S104" s="53"/>
      <c r="T104" s="59"/>
      <c r="U104" s="59"/>
      <c r="V104" s="59"/>
    </row>
    <row r="105" spans="1:22" s="172" customFormat="1" ht="12.4" customHeight="1" x14ac:dyDescent="0.25">
      <c r="A105" s="100">
        <v>3</v>
      </c>
      <c r="B105" s="100">
        <v>1</v>
      </c>
      <c r="C105" s="100">
        <v>2</v>
      </c>
      <c r="D105" s="147" t="s">
        <v>2</v>
      </c>
      <c r="E105" s="147"/>
      <c r="F105" s="148" t="s">
        <v>361</v>
      </c>
      <c r="G105" s="103"/>
      <c r="H105" s="103"/>
      <c r="I105" s="103"/>
      <c r="J105" s="103"/>
      <c r="K105" s="104"/>
      <c r="L105" s="104"/>
      <c r="M105" s="104"/>
      <c r="N105" s="104"/>
      <c r="O105" s="104"/>
      <c r="P105" s="104"/>
      <c r="Q105" s="105"/>
      <c r="R105" s="106" t="e">
        <f>+R106+#REF!+#REF!+#REF!</f>
        <v>#REF!</v>
      </c>
      <c r="S105" s="106" t="e">
        <f>+S106+#REF!+#REF!+#REF!</f>
        <v>#REF!</v>
      </c>
      <c r="T105" s="106" t="e">
        <f>+T106+#REF!+#REF!+#REF!</f>
        <v>#REF!</v>
      </c>
      <c r="U105" s="106" t="e">
        <f>+U106+#REF!+#REF!+#REF!</f>
        <v>#REF!</v>
      </c>
      <c r="V105" s="106" t="e">
        <f>+V106+#REF!+#REF!+#REF!</f>
        <v>#REF!</v>
      </c>
    </row>
    <row r="106" spans="1:22" ht="12.4" customHeight="1" x14ac:dyDescent="0.25">
      <c r="A106" s="30">
        <v>3</v>
      </c>
      <c r="B106" s="30">
        <v>1</v>
      </c>
      <c r="C106" s="30">
        <v>2</v>
      </c>
      <c r="D106" s="136" t="s">
        <v>28</v>
      </c>
      <c r="E106" s="136"/>
      <c r="F106" s="54" t="s">
        <v>133</v>
      </c>
      <c r="G106" s="57" t="s">
        <v>21</v>
      </c>
      <c r="H106" s="30" t="s">
        <v>18</v>
      </c>
      <c r="I106" s="156" t="s">
        <v>23</v>
      </c>
      <c r="J106" s="60">
        <v>1</v>
      </c>
      <c r="K106" s="60">
        <v>1</v>
      </c>
      <c r="L106" s="60">
        <v>1</v>
      </c>
      <c r="M106" s="60">
        <v>1</v>
      </c>
      <c r="N106" s="60">
        <v>1</v>
      </c>
      <c r="O106" s="60">
        <v>1</v>
      </c>
      <c r="P106" s="60"/>
      <c r="Q106" s="61"/>
      <c r="R106" s="53">
        <f t="shared" ref="R106:R107" si="12">+SUM(S106:V106)</f>
        <v>899409875</v>
      </c>
      <c r="S106" s="53">
        <v>101788994</v>
      </c>
      <c r="T106" s="59">
        <v>234441395</v>
      </c>
      <c r="U106" s="59">
        <v>281589743</v>
      </c>
      <c r="V106" s="59">
        <v>281589743</v>
      </c>
    </row>
    <row r="107" spans="1:22" ht="12.4" customHeight="1" x14ac:dyDescent="0.25">
      <c r="A107" s="30">
        <v>3</v>
      </c>
      <c r="B107" s="30">
        <v>1</v>
      </c>
      <c r="C107" s="30">
        <v>2</v>
      </c>
      <c r="D107" s="136" t="s">
        <v>28</v>
      </c>
      <c r="E107" s="136"/>
      <c r="F107" s="54" t="s">
        <v>139</v>
      </c>
      <c r="G107" s="57" t="s">
        <v>21</v>
      </c>
      <c r="H107" s="57" t="s">
        <v>22</v>
      </c>
      <c r="I107" s="156" t="s">
        <v>30</v>
      </c>
      <c r="J107" s="140">
        <v>0.43</v>
      </c>
      <c r="K107" s="140">
        <v>0.43</v>
      </c>
      <c r="L107" s="140">
        <v>0.38</v>
      </c>
      <c r="M107" s="140">
        <v>0.38</v>
      </c>
      <c r="N107" s="140">
        <v>0.44</v>
      </c>
      <c r="O107" s="140">
        <v>0.44</v>
      </c>
      <c r="P107" s="140">
        <v>0.44</v>
      </c>
      <c r="Q107" s="61"/>
      <c r="R107" s="53">
        <f t="shared" si="12"/>
        <v>882127766</v>
      </c>
      <c r="S107" s="53">
        <v>282416679</v>
      </c>
      <c r="T107" s="59">
        <v>179441395</v>
      </c>
      <c r="U107" s="59">
        <v>199179949</v>
      </c>
      <c r="V107" s="59">
        <v>221089743</v>
      </c>
    </row>
    <row r="108" spans="1:22" s="21" customFormat="1" ht="12.4" customHeight="1" x14ac:dyDescent="0.25">
      <c r="A108" s="93">
        <v>3</v>
      </c>
      <c r="B108" s="93">
        <v>2</v>
      </c>
      <c r="C108" s="93">
        <v>0</v>
      </c>
      <c r="D108" s="94" t="s">
        <v>1</v>
      </c>
      <c r="E108" s="94"/>
      <c r="F108" s="95" t="s">
        <v>149</v>
      </c>
      <c r="G108" s="96"/>
      <c r="H108" s="96"/>
      <c r="I108" s="96"/>
      <c r="J108" s="96"/>
      <c r="K108" s="97"/>
      <c r="L108" s="97"/>
      <c r="M108" s="97"/>
      <c r="N108" s="97"/>
      <c r="O108" s="97"/>
      <c r="P108" s="97"/>
      <c r="Q108" s="98" t="e">
        <f>+R108/#REF!</f>
        <v>#REF!</v>
      </c>
      <c r="R108" s="99" t="e">
        <f>+R109+#REF!+#REF!</f>
        <v>#REF!</v>
      </c>
      <c r="S108" s="99" t="e">
        <f>+S109+#REF!+#REF!</f>
        <v>#REF!</v>
      </c>
      <c r="T108" s="99" t="e">
        <f>+T109+#REF!+#REF!</f>
        <v>#REF!</v>
      </c>
      <c r="U108" s="99" t="e">
        <f>+U109+#REF!+#REF!</f>
        <v>#REF!</v>
      </c>
      <c r="V108" s="99" t="e">
        <f>+V109+#REF!+#REF!</f>
        <v>#REF!</v>
      </c>
    </row>
    <row r="109" spans="1:22" s="172" customFormat="1" ht="12.4" customHeight="1" x14ac:dyDescent="0.25">
      <c r="A109" s="100">
        <v>3</v>
      </c>
      <c r="B109" s="100">
        <v>2</v>
      </c>
      <c r="C109" s="100">
        <v>1</v>
      </c>
      <c r="D109" s="101" t="s">
        <v>2</v>
      </c>
      <c r="E109" s="101"/>
      <c r="F109" s="102" t="s">
        <v>362</v>
      </c>
      <c r="G109" s="103"/>
      <c r="H109" s="103"/>
      <c r="I109" s="103"/>
      <c r="J109" s="103"/>
      <c r="K109" s="104"/>
      <c r="L109" s="104"/>
      <c r="M109" s="104"/>
      <c r="N109" s="104"/>
      <c r="O109" s="104"/>
      <c r="P109" s="104"/>
      <c r="Q109" s="105" t="e">
        <f>+R109/#REF!</f>
        <v>#REF!</v>
      </c>
      <c r="R109" s="106">
        <f>+R110+R121</f>
        <v>255867860007</v>
      </c>
      <c r="S109" s="106">
        <f>+S110+S121</f>
        <v>78327735827</v>
      </c>
      <c r="T109" s="106">
        <f>+T110+T121</f>
        <v>97342531977</v>
      </c>
      <c r="U109" s="106">
        <f>+U110+U121</f>
        <v>38887769690</v>
      </c>
      <c r="V109" s="106">
        <f>+V110+V121</f>
        <v>41309822513</v>
      </c>
    </row>
    <row r="110" spans="1:22" s="21" customFormat="1" ht="12.4" customHeight="1" x14ac:dyDescent="0.25">
      <c r="A110" s="29">
        <v>3</v>
      </c>
      <c r="B110" s="29">
        <v>2</v>
      </c>
      <c r="C110" s="29">
        <v>1</v>
      </c>
      <c r="D110" s="158" t="s">
        <v>38</v>
      </c>
      <c r="E110" s="158"/>
      <c r="F110" s="54" t="s">
        <v>363</v>
      </c>
      <c r="G110" s="57" t="s">
        <v>21</v>
      </c>
      <c r="H110" s="30" t="s">
        <v>18</v>
      </c>
      <c r="I110" s="57" t="s">
        <v>19</v>
      </c>
      <c r="J110" s="60">
        <v>11900</v>
      </c>
      <c r="K110" s="60">
        <v>10462</v>
      </c>
      <c r="L110" s="60">
        <f>10814+K110</f>
        <v>21276</v>
      </c>
      <c r="M110" s="60">
        <f>11203+L110</f>
        <v>32479</v>
      </c>
      <c r="N110" s="60">
        <f>11637+M110</f>
        <v>44116</v>
      </c>
      <c r="O110" s="60">
        <f>12062+N110</f>
        <v>56178</v>
      </c>
      <c r="P110" s="60">
        <v>56178</v>
      </c>
      <c r="Q110" s="49" t="e">
        <f>+R110/#REF!</f>
        <v>#REF!</v>
      </c>
      <c r="R110" s="24">
        <f>+SUM(R111:R120)</f>
        <v>109915133127</v>
      </c>
      <c r="S110" s="24">
        <f>+SUM(S111:S120)</f>
        <v>43651928727</v>
      </c>
      <c r="T110" s="24">
        <f>+SUM(T111:T120)</f>
        <v>63000000000</v>
      </c>
      <c r="U110" s="24">
        <f>+SUM(U111:U120)</f>
        <v>1874670000</v>
      </c>
      <c r="V110" s="24">
        <f>+SUM(V111:V120)</f>
        <v>1388534400</v>
      </c>
    </row>
    <row r="111" spans="1:22" ht="12.4" customHeight="1" x14ac:dyDescent="0.25">
      <c r="A111" s="30">
        <v>3</v>
      </c>
      <c r="B111" s="30">
        <v>2</v>
      </c>
      <c r="C111" s="30">
        <v>1</v>
      </c>
      <c r="D111" s="158" t="s">
        <v>38</v>
      </c>
      <c r="E111" s="158"/>
      <c r="F111" s="54" t="s">
        <v>364</v>
      </c>
      <c r="G111" s="57" t="s">
        <v>21</v>
      </c>
      <c r="H111" s="30" t="s">
        <v>18</v>
      </c>
      <c r="I111" s="156" t="s">
        <v>19</v>
      </c>
      <c r="J111" s="60">
        <v>4800</v>
      </c>
      <c r="K111" s="60">
        <v>4971</v>
      </c>
      <c r="L111" s="60">
        <f>5224+K111</f>
        <v>10195</v>
      </c>
      <c r="M111" s="60">
        <f>5506+L111</f>
        <v>15701</v>
      </c>
      <c r="N111" s="60">
        <f>M111+5820</f>
        <v>21521</v>
      </c>
      <c r="O111" s="60">
        <f>6121+N111</f>
        <v>27642</v>
      </c>
      <c r="P111" s="60">
        <v>27642</v>
      </c>
      <c r="Q111" s="61" t="e">
        <f>+R111/#REF!</f>
        <v>#REF!</v>
      </c>
      <c r="R111" s="53">
        <f t="shared" ref="R111:R120" si="13">+SUM(S111:V111)</f>
        <v>651928727</v>
      </c>
      <c r="S111" s="53">
        <v>651928727</v>
      </c>
      <c r="T111" s="59">
        <v>0</v>
      </c>
      <c r="U111" s="59">
        <v>0</v>
      </c>
      <c r="V111" s="59">
        <v>0</v>
      </c>
    </row>
    <row r="112" spans="1:22" s="86" customFormat="1" ht="12.4" customHeight="1" x14ac:dyDescent="0.25">
      <c r="A112" s="85">
        <v>3</v>
      </c>
      <c r="B112" s="85">
        <v>2</v>
      </c>
      <c r="C112" s="85">
        <v>1</v>
      </c>
      <c r="D112" s="135" t="s">
        <v>38</v>
      </c>
      <c r="E112" s="135"/>
      <c r="F112" s="54" t="s">
        <v>159</v>
      </c>
      <c r="G112" s="57" t="s">
        <v>17</v>
      </c>
      <c r="H112" s="30" t="s">
        <v>18</v>
      </c>
      <c r="I112" s="57" t="s">
        <v>19</v>
      </c>
      <c r="J112" s="60">
        <v>1122</v>
      </c>
      <c r="K112" s="60">
        <v>1122</v>
      </c>
      <c r="L112" s="60">
        <f>1156+K112</f>
        <v>2278</v>
      </c>
      <c r="M112" s="60">
        <f>1191+L112</f>
        <v>3469</v>
      </c>
      <c r="N112" s="60">
        <f>1226+M112</f>
        <v>4695</v>
      </c>
      <c r="O112" s="60">
        <f>100+N112</f>
        <v>4795</v>
      </c>
      <c r="P112" s="60">
        <v>4795</v>
      </c>
      <c r="Q112" s="61" t="e">
        <f>+R112/#REF!</f>
        <v>#REF!</v>
      </c>
      <c r="R112" s="53">
        <f t="shared" si="13"/>
        <v>790693200</v>
      </c>
      <c r="S112" s="53">
        <v>0</v>
      </c>
      <c r="T112" s="59">
        <v>0</v>
      </c>
      <c r="U112" s="59">
        <v>96426000</v>
      </c>
      <c r="V112" s="59">
        <v>694267200</v>
      </c>
    </row>
    <row r="113" spans="1:22" s="86" customFormat="1" ht="12.4" customHeight="1" x14ac:dyDescent="0.25">
      <c r="A113" s="85">
        <v>3</v>
      </c>
      <c r="B113" s="85">
        <v>2</v>
      </c>
      <c r="C113" s="85">
        <v>1</v>
      </c>
      <c r="D113" s="136" t="s">
        <v>28</v>
      </c>
      <c r="E113" s="136"/>
      <c r="F113" s="54" t="s">
        <v>365</v>
      </c>
      <c r="G113" s="57" t="s">
        <v>21</v>
      </c>
      <c r="H113" s="30" t="s">
        <v>18</v>
      </c>
      <c r="I113" s="57" t="s">
        <v>30</v>
      </c>
      <c r="J113" s="133"/>
      <c r="K113" s="137"/>
      <c r="L113" s="137"/>
      <c r="M113" s="137"/>
      <c r="N113" s="137"/>
      <c r="O113" s="137"/>
      <c r="P113" s="137"/>
      <c r="Q113" s="61" t="e">
        <f>+R113/#REF!</f>
        <v>#REF!</v>
      </c>
      <c r="R113" s="53">
        <f t="shared" ref="R113" si="14">+SUM(S113:V113)</f>
        <v>790693200</v>
      </c>
      <c r="S113" s="53">
        <v>0</v>
      </c>
      <c r="T113" s="59">
        <v>0</v>
      </c>
      <c r="U113" s="59">
        <v>96426000</v>
      </c>
      <c r="V113" s="59">
        <v>694267200</v>
      </c>
    </row>
    <row r="114" spans="1:22" s="172" customFormat="1" ht="12.4" customHeight="1" x14ac:dyDescent="0.25">
      <c r="A114" s="100">
        <v>3</v>
      </c>
      <c r="B114" s="100">
        <v>2</v>
      </c>
      <c r="C114" s="100">
        <v>2</v>
      </c>
      <c r="D114" s="101" t="s">
        <v>2</v>
      </c>
      <c r="E114" s="101"/>
      <c r="F114" s="102" t="s">
        <v>366</v>
      </c>
      <c r="G114" s="103"/>
      <c r="H114" s="103"/>
      <c r="I114" s="103"/>
      <c r="J114" s="103"/>
      <c r="K114" s="104"/>
      <c r="L114" s="104"/>
      <c r="M114" s="104"/>
      <c r="N114" s="104"/>
      <c r="O114" s="104"/>
      <c r="P114" s="104"/>
      <c r="Q114" s="105" t="e">
        <f>+R114/#REF!</f>
        <v>#REF!</v>
      </c>
      <c r="R114" s="106">
        <f t="shared" si="13"/>
        <v>1681818000</v>
      </c>
      <c r="S114" s="106">
        <v>0</v>
      </c>
      <c r="T114" s="106">
        <v>0</v>
      </c>
      <c r="U114" s="106">
        <v>1681818000</v>
      </c>
      <c r="V114" s="106">
        <v>0</v>
      </c>
    </row>
    <row r="115" spans="1:22" s="64" customFormat="1" ht="12.4" customHeight="1" x14ac:dyDescent="0.25">
      <c r="A115" s="30">
        <v>3</v>
      </c>
      <c r="B115" s="30">
        <v>2</v>
      </c>
      <c r="C115" s="30">
        <v>2</v>
      </c>
      <c r="D115" s="158" t="s">
        <v>38</v>
      </c>
      <c r="E115" s="158"/>
      <c r="F115" s="54" t="s">
        <v>367</v>
      </c>
      <c r="G115" s="57" t="s">
        <v>21</v>
      </c>
      <c r="H115" s="30" t="s">
        <v>18</v>
      </c>
      <c r="I115" s="156" t="s">
        <v>19</v>
      </c>
      <c r="J115" s="60">
        <v>0</v>
      </c>
      <c r="K115" s="60">
        <v>1</v>
      </c>
      <c r="L115" s="60">
        <v>0</v>
      </c>
      <c r="M115" s="60">
        <v>0</v>
      </c>
      <c r="N115" s="60">
        <v>1</v>
      </c>
      <c r="O115" s="60">
        <v>0</v>
      </c>
      <c r="P115" s="60">
        <v>2</v>
      </c>
      <c r="Q115" s="61" t="e">
        <f>+R115/#REF!</f>
        <v>#REF!</v>
      </c>
      <c r="R115" s="53">
        <f t="shared" si="13"/>
        <v>26500000000</v>
      </c>
      <c r="S115" s="53">
        <v>10750000000</v>
      </c>
      <c r="T115" s="59">
        <v>15750000000</v>
      </c>
      <c r="U115" s="59">
        <v>0</v>
      </c>
      <c r="V115" s="59">
        <v>0</v>
      </c>
    </row>
    <row r="116" spans="1:22" s="64" customFormat="1" ht="12.4" customHeight="1" x14ac:dyDescent="0.25">
      <c r="A116" s="30">
        <v>3</v>
      </c>
      <c r="B116" s="30">
        <v>2</v>
      </c>
      <c r="C116" s="30">
        <v>2</v>
      </c>
      <c r="D116" s="136" t="s">
        <v>28</v>
      </c>
      <c r="E116" s="136"/>
      <c r="F116" s="54" t="s">
        <v>368</v>
      </c>
      <c r="G116" s="57" t="s">
        <v>21</v>
      </c>
      <c r="H116" s="30" t="s">
        <v>18</v>
      </c>
      <c r="I116" s="156" t="s">
        <v>19</v>
      </c>
      <c r="J116" s="60">
        <v>375</v>
      </c>
      <c r="K116" s="60">
        <v>375</v>
      </c>
      <c r="L116" s="60">
        <f>393+K116</f>
        <v>768</v>
      </c>
      <c r="M116" s="60">
        <f>412+L116</f>
        <v>1180</v>
      </c>
      <c r="N116" s="60">
        <f>432+M116</f>
        <v>1612</v>
      </c>
      <c r="O116" s="60">
        <f>75+N116</f>
        <v>1687</v>
      </c>
      <c r="P116" s="60">
        <v>1687</v>
      </c>
      <c r="Q116" s="61"/>
      <c r="R116" s="53"/>
      <c r="S116" s="53"/>
      <c r="T116" s="59"/>
      <c r="U116" s="59"/>
      <c r="V116" s="59"/>
    </row>
    <row r="117" spans="1:22" s="64" customFormat="1" ht="12.4" customHeight="1" x14ac:dyDescent="0.25">
      <c r="A117" s="30">
        <v>3</v>
      </c>
      <c r="B117" s="30">
        <v>2</v>
      </c>
      <c r="C117" s="30">
        <v>2</v>
      </c>
      <c r="D117" s="136" t="s">
        <v>28</v>
      </c>
      <c r="E117" s="136"/>
      <c r="F117" s="54" t="s">
        <v>369</v>
      </c>
      <c r="G117" s="57" t="s">
        <v>21</v>
      </c>
      <c r="H117" s="57" t="s">
        <v>22</v>
      </c>
      <c r="I117" s="156" t="s">
        <v>30</v>
      </c>
      <c r="J117" s="163">
        <v>0.8</v>
      </c>
      <c r="K117" s="163">
        <v>0.8</v>
      </c>
      <c r="L117" s="163">
        <v>0.82</v>
      </c>
      <c r="M117" s="163">
        <v>0.84</v>
      </c>
      <c r="N117" s="163">
        <v>0.85</v>
      </c>
      <c r="O117" s="163">
        <v>0.85</v>
      </c>
      <c r="P117" s="163"/>
      <c r="Q117" s="61" t="e">
        <f>+R117/#REF!</f>
        <v>#REF!</v>
      </c>
      <c r="R117" s="53">
        <f t="shared" ref="R117:R118" si="15">+SUM(S117:V117)</f>
        <v>26500000000</v>
      </c>
      <c r="S117" s="53">
        <v>10750000000</v>
      </c>
      <c r="T117" s="59">
        <v>15750000000</v>
      </c>
      <c r="U117" s="59">
        <v>0</v>
      </c>
      <c r="V117" s="59">
        <v>0</v>
      </c>
    </row>
    <row r="118" spans="1:22" s="64" customFormat="1" ht="12.4" customHeight="1" x14ac:dyDescent="0.25">
      <c r="A118" s="30">
        <v>3</v>
      </c>
      <c r="B118" s="30">
        <v>2</v>
      </c>
      <c r="C118" s="30">
        <v>2</v>
      </c>
      <c r="D118" s="135" t="s">
        <v>38</v>
      </c>
      <c r="E118" s="135"/>
      <c r="F118" s="54" t="s">
        <v>370</v>
      </c>
      <c r="G118" s="57" t="s">
        <v>21</v>
      </c>
      <c r="H118" s="57" t="s">
        <v>22</v>
      </c>
      <c r="I118" s="156" t="s">
        <v>23</v>
      </c>
      <c r="J118" s="163">
        <v>0.8</v>
      </c>
      <c r="K118" s="163">
        <v>0.8</v>
      </c>
      <c r="L118" s="163">
        <v>0.8</v>
      </c>
      <c r="M118" s="163">
        <v>0.8</v>
      </c>
      <c r="N118" s="163">
        <v>0.8</v>
      </c>
      <c r="O118" s="163">
        <v>0.8</v>
      </c>
      <c r="P118" s="163">
        <v>0.8</v>
      </c>
      <c r="Q118" s="61" t="e">
        <f>+R118/#REF!</f>
        <v>#REF!</v>
      </c>
      <c r="R118" s="53">
        <f t="shared" si="15"/>
        <v>26500000000</v>
      </c>
      <c r="S118" s="53">
        <v>10750000000</v>
      </c>
      <c r="T118" s="59">
        <v>15750000000</v>
      </c>
      <c r="U118" s="59">
        <v>0</v>
      </c>
      <c r="V118" s="59">
        <v>0</v>
      </c>
    </row>
    <row r="119" spans="1:22" s="64" customFormat="1" ht="12.4" customHeight="1" x14ac:dyDescent="0.25">
      <c r="A119" s="30">
        <v>3</v>
      </c>
      <c r="B119" s="30">
        <v>2</v>
      </c>
      <c r="C119" s="30">
        <v>2</v>
      </c>
      <c r="D119" s="135" t="s">
        <v>38</v>
      </c>
      <c r="E119" s="135"/>
      <c r="F119" s="54" t="s">
        <v>166</v>
      </c>
      <c r="G119" s="57" t="s">
        <v>17</v>
      </c>
      <c r="H119" s="30" t="s">
        <v>18</v>
      </c>
      <c r="I119" s="57" t="s">
        <v>40</v>
      </c>
      <c r="J119" s="60">
        <v>0</v>
      </c>
      <c r="K119" s="60">
        <v>0</v>
      </c>
      <c r="L119" s="60">
        <v>0</v>
      </c>
      <c r="M119" s="60">
        <v>0</v>
      </c>
      <c r="N119" s="60">
        <v>1</v>
      </c>
      <c r="O119" s="60">
        <v>1</v>
      </c>
      <c r="P119" s="60">
        <v>1</v>
      </c>
      <c r="Q119" s="61"/>
      <c r="R119" s="53"/>
      <c r="S119" s="53"/>
      <c r="T119" s="59"/>
      <c r="U119" s="59"/>
      <c r="V119" s="59"/>
    </row>
    <row r="120" spans="1:22" s="64" customFormat="1" ht="12.4" customHeight="1" x14ac:dyDescent="0.25">
      <c r="A120" s="30">
        <v>3</v>
      </c>
      <c r="B120" s="30">
        <v>2</v>
      </c>
      <c r="C120" s="30">
        <v>2</v>
      </c>
      <c r="D120" s="135" t="s">
        <v>38</v>
      </c>
      <c r="E120" s="135"/>
      <c r="F120" s="54" t="s">
        <v>167</v>
      </c>
      <c r="G120" s="57" t="s">
        <v>17</v>
      </c>
      <c r="H120" s="30" t="s">
        <v>18</v>
      </c>
      <c r="I120" s="57" t="s">
        <v>40</v>
      </c>
      <c r="J120" s="60">
        <v>0</v>
      </c>
      <c r="K120" s="60">
        <v>0</v>
      </c>
      <c r="L120" s="60">
        <v>0</v>
      </c>
      <c r="M120" s="60">
        <v>1</v>
      </c>
      <c r="N120" s="60">
        <v>1</v>
      </c>
      <c r="O120" s="60">
        <v>1</v>
      </c>
      <c r="P120" s="60">
        <v>1</v>
      </c>
      <c r="Q120" s="61" t="e">
        <f>+R120/#REF!</f>
        <v>#REF!</v>
      </c>
      <c r="R120" s="53">
        <f t="shared" si="13"/>
        <v>26500000000</v>
      </c>
      <c r="S120" s="53">
        <v>10750000000</v>
      </c>
      <c r="T120" s="59">
        <v>15750000000</v>
      </c>
      <c r="U120" s="59">
        <v>0</v>
      </c>
      <c r="V120" s="59">
        <v>0</v>
      </c>
    </row>
    <row r="121" spans="1:22" s="172" customFormat="1" ht="12.4" customHeight="1" x14ac:dyDescent="0.25">
      <c r="A121" s="100">
        <v>3</v>
      </c>
      <c r="B121" s="100">
        <v>2</v>
      </c>
      <c r="C121" s="100">
        <v>3</v>
      </c>
      <c r="D121" s="101" t="s">
        <v>2</v>
      </c>
      <c r="E121" s="101"/>
      <c r="F121" s="102" t="s">
        <v>371</v>
      </c>
      <c r="G121" s="103"/>
      <c r="H121" s="103"/>
      <c r="I121" s="103"/>
      <c r="J121" s="103"/>
      <c r="K121" s="104"/>
      <c r="L121" s="104"/>
      <c r="M121" s="104"/>
      <c r="N121" s="104"/>
      <c r="O121" s="104"/>
      <c r="P121" s="104"/>
      <c r="Q121" s="105" t="e">
        <f>+R121/#REF!</f>
        <v>#REF!</v>
      </c>
      <c r="R121" s="106">
        <f>+SUM(R125:R136)</f>
        <v>145952726880</v>
      </c>
      <c r="S121" s="106">
        <f>+SUM(S125:S136)</f>
        <v>34675807100</v>
      </c>
      <c r="T121" s="106">
        <f>+SUM(T125:T136)</f>
        <v>34342531977</v>
      </c>
      <c r="U121" s="106">
        <f>+SUM(U125:U136)</f>
        <v>37013099690</v>
      </c>
      <c r="V121" s="106">
        <f>+SUM(V125:V136)</f>
        <v>39921288113</v>
      </c>
    </row>
    <row r="122" spans="1:22" ht="12.4" customHeight="1" x14ac:dyDescent="0.25">
      <c r="A122" s="30">
        <v>3</v>
      </c>
      <c r="B122" s="30">
        <v>2</v>
      </c>
      <c r="C122" s="30">
        <v>3</v>
      </c>
      <c r="D122" s="136" t="s">
        <v>28</v>
      </c>
      <c r="E122" s="136"/>
      <c r="F122" s="54" t="s">
        <v>151</v>
      </c>
      <c r="G122" s="57" t="s">
        <v>17</v>
      </c>
      <c r="H122" s="30" t="s">
        <v>18</v>
      </c>
      <c r="I122" s="175" t="s">
        <v>19</v>
      </c>
      <c r="J122" s="133"/>
      <c r="K122" s="60">
        <v>1500</v>
      </c>
      <c r="L122" s="60">
        <f>1600+K122</f>
        <v>3100</v>
      </c>
      <c r="M122" s="60">
        <f>1700+L122</f>
        <v>4800</v>
      </c>
      <c r="N122" s="60">
        <f>1800+M122</f>
        <v>6600</v>
      </c>
      <c r="O122" s="60">
        <f>2000+N122</f>
        <v>8600</v>
      </c>
      <c r="P122" s="60">
        <v>8600</v>
      </c>
      <c r="Q122" s="58" t="e">
        <f>+R122/#REF!</f>
        <v>#REF!</v>
      </c>
      <c r="R122" s="53">
        <f t="shared" ref="R122:R136" si="16">+SUM(S122:V122)</f>
        <v>5785560000</v>
      </c>
      <c r="S122" s="53">
        <v>1446390000</v>
      </c>
      <c r="T122" s="59">
        <v>1446390000</v>
      </c>
      <c r="U122" s="59">
        <v>1446390000</v>
      </c>
      <c r="V122" s="59">
        <v>1446390000</v>
      </c>
    </row>
    <row r="123" spans="1:22" ht="12.4" customHeight="1" x14ac:dyDescent="0.25">
      <c r="A123" s="30">
        <v>3</v>
      </c>
      <c r="B123" s="30">
        <v>2</v>
      </c>
      <c r="C123" s="30">
        <v>3</v>
      </c>
      <c r="D123" s="135" t="s">
        <v>38</v>
      </c>
      <c r="E123" s="135"/>
      <c r="F123" s="54" t="s">
        <v>372</v>
      </c>
      <c r="G123" s="57" t="s">
        <v>17</v>
      </c>
      <c r="H123" s="30" t="s">
        <v>18</v>
      </c>
      <c r="I123" s="133" t="s">
        <v>30</v>
      </c>
      <c r="J123" s="133"/>
      <c r="K123" s="137">
        <v>32</v>
      </c>
      <c r="L123" s="137">
        <v>32</v>
      </c>
      <c r="M123" s="137">
        <v>32</v>
      </c>
      <c r="N123" s="137">
        <v>32</v>
      </c>
      <c r="O123" s="137">
        <v>32</v>
      </c>
      <c r="P123" s="137">
        <v>128</v>
      </c>
      <c r="Q123" s="58" t="e">
        <f>+R123/#REF!</f>
        <v>#REF!</v>
      </c>
      <c r="R123" s="53">
        <f t="shared" si="16"/>
        <v>5785560000</v>
      </c>
      <c r="S123" s="53">
        <v>1446390000</v>
      </c>
      <c r="T123" s="59">
        <v>1446390000</v>
      </c>
      <c r="U123" s="59">
        <v>1446390000</v>
      </c>
      <c r="V123" s="59">
        <v>1446390000</v>
      </c>
    </row>
    <row r="124" spans="1:22" ht="12.4" customHeight="1" x14ac:dyDescent="0.25">
      <c r="A124" s="30">
        <v>3</v>
      </c>
      <c r="B124" s="30">
        <v>2</v>
      </c>
      <c r="C124" s="30">
        <v>3</v>
      </c>
      <c r="D124" s="135" t="s">
        <v>38</v>
      </c>
      <c r="E124" s="135"/>
      <c r="F124" s="54" t="s">
        <v>373</v>
      </c>
      <c r="G124" s="57" t="s">
        <v>17</v>
      </c>
      <c r="H124" s="30" t="s">
        <v>18</v>
      </c>
      <c r="I124" s="57" t="s">
        <v>19</v>
      </c>
      <c r="J124" s="133"/>
      <c r="K124" s="60">
        <v>3000</v>
      </c>
      <c r="L124" s="60">
        <v>6000</v>
      </c>
      <c r="M124" s="60">
        <v>9000</v>
      </c>
      <c r="N124" s="60">
        <v>12000</v>
      </c>
      <c r="O124" s="60">
        <v>12000</v>
      </c>
      <c r="P124" s="60">
        <v>12000</v>
      </c>
      <c r="Q124" s="58" t="e">
        <f>+R124/#REF!</f>
        <v>#REF!</v>
      </c>
      <c r="R124" s="53">
        <f t="shared" si="16"/>
        <v>5785560000</v>
      </c>
      <c r="S124" s="53">
        <v>1446390000</v>
      </c>
      <c r="T124" s="59">
        <v>1446390000</v>
      </c>
      <c r="U124" s="59">
        <v>1446390000</v>
      </c>
      <c r="V124" s="59">
        <v>1446390000</v>
      </c>
    </row>
    <row r="125" spans="1:22" ht="12.4" customHeight="1" x14ac:dyDescent="0.25">
      <c r="A125" s="30">
        <v>3</v>
      </c>
      <c r="B125" s="30">
        <v>2</v>
      </c>
      <c r="C125" s="30">
        <v>3</v>
      </c>
      <c r="D125" s="135" t="s">
        <v>38</v>
      </c>
      <c r="E125" s="135"/>
      <c r="F125" s="54" t="s">
        <v>374</v>
      </c>
      <c r="G125" s="57" t="s">
        <v>17</v>
      </c>
      <c r="H125" s="30" t="s">
        <v>18</v>
      </c>
      <c r="I125" s="57" t="s">
        <v>19</v>
      </c>
      <c r="J125" s="133"/>
      <c r="K125" s="60">
        <v>70</v>
      </c>
      <c r="L125" s="60">
        <v>80</v>
      </c>
      <c r="M125" s="60">
        <v>90</v>
      </c>
      <c r="N125" s="60">
        <v>100</v>
      </c>
      <c r="O125" s="60">
        <v>110</v>
      </c>
      <c r="P125" s="60">
        <v>450</v>
      </c>
      <c r="Q125" s="58" t="e">
        <f>+R125/#REF!</f>
        <v>#REF!</v>
      </c>
      <c r="R125" s="53">
        <f t="shared" si="16"/>
        <v>5785560000</v>
      </c>
      <c r="S125" s="53">
        <v>1446390000</v>
      </c>
      <c r="T125" s="59">
        <v>1446390000</v>
      </c>
      <c r="U125" s="59">
        <v>1446390000</v>
      </c>
      <c r="V125" s="59">
        <v>1446390000</v>
      </c>
    </row>
    <row r="126" spans="1:22" ht="12.4" customHeight="1" x14ac:dyDescent="0.25">
      <c r="A126" s="30">
        <v>3</v>
      </c>
      <c r="B126" s="30">
        <v>2</v>
      </c>
      <c r="C126" s="30">
        <v>3</v>
      </c>
      <c r="D126" s="158" t="s">
        <v>38</v>
      </c>
      <c r="E126" s="158"/>
      <c r="F126" s="54" t="s">
        <v>375</v>
      </c>
      <c r="G126" s="57" t="s">
        <v>21</v>
      </c>
      <c r="H126" s="30" t="s">
        <v>18</v>
      </c>
      <c r="I126" s="175" t="s">
        <v>19</v>
      </c>
      <c r="J126" s="133"/>
      <c r="K126" s="137"/>
      <c r="L126" s="137"/>
      <c r="M126" s="137"/>
      <c r="N126" s="137"/>
      <c r="O126" s="137"/>
      <c r="P126" s="137"/>
      <c r="Q126" s="58" t="e">
        <f>+R126/#REF!</f>
        <v>#REF!</v>
      </c>
      <c r="R126" s="53">
        <f t="shared" ref="R126" si="17">+SUM(S126:V126)</f>
        <v>5785560000</v>
      </c>
      <c r="S126" s="53">
        <v>1446390000</v>
      </c>
      <c r="T126" s="59">
        <v>1446390000</v>
      </c>
      <c r="U126" s="59">
        <v>1446390000</v>
      </c>
      <c r="V126" s="59">
        <v>1446390000</v>
      </c>
    </row>
    <row r="127" spans="1:22" s="172" customFormat="1" ht="12.4" customHeight="1" x14ac:dyDescent="0.25">
      <c r="A127" s="100">
        <v>3</v>
      </c>
      <c r="B127" s="100">
        <v>2</v>
      </c>
      <c r="C127" s="100">
        <v>4</v>
      </c>
      <c r="D127" s="101" t="s">
        <v>2</v>
      </c>
      <c r="E127" s="101"/>
      <c r="F127" s="102" t="s">
        <v>376</v>
      </c>
      <c r="G127" s="103"/>
      <c r="H127" s="103"/>
      <c r="I127" s="103"/>
      <c r="J127" s="103"/>
      <c r="K127" s="103"/>
      <c r="L127" s="103"/>
      <c r="M127" s="103"/>
      <c r="N127" s="103"/>
      <c r="O127" s="103"/>
      <c r="P127" s="103"/>
      <c r="Q127" s="105" t="e">
        <f>+R127/#REF!</f>
        <v>#REF!</v>
      </c>
      <c r="R127" s="106">
        <f t="shared" si="16"/>
        <v>4633564369</v>
      </c>
      <c r="S127" s="106">
        <v>3236994469</v>
      </c>
      <c r="T127" s="106">
        <v>465523300</v>
      </c>
      <c r="U127" s="106">
        <v>465523300</v>
      </c>
      <c r="V127" s="106">
        <v>465523300</v>
      </c>
    </row>
    <row r="128" spans="1:22" s="64" customFormat="1" ht="12.4" customHeight="1" x14ac:dyDescent="0.25">
      <c r="A128" s="30">
        <v>3</v>
      </c>
      <c r="B128" s="30">
        <v>2</v>
      </c>
      <c r="C128" s="30">
        <v>4</v>
      </c>
      <c r="D128" s="158" t="s">
        <v>38</v>
      </c>
      <c r="E128" s="158"/>
      <c r="F128" s="54" t="s">
        <v>377</v>
      </c>
      <c r="G128" s="57" t="s">
        <v>21</v>
      </c>
      <c r="H128" s="30" t="s">
        <v>18</v>
      </c>
      <c r="I128" s="156" t="s">
        <v>19</v>
      </c>
      <c r="J128" s="133"/>
      <c r="K128" s="60">
        <v>35</v>
      </c>
      <c r="L128" s="60">
        <f>15+K128</f>
        <v>50</v>
      </c>
      <c r="M128" s="60">
        <f>15+L128</f>
        <v>65</v>
      </c>
      <c r="N128" s="60">
        <f>20+M128</f>
        <v>85</v>
      </c>
      <c r="O128" s="60">
        <f>3+N128</f>
        <v>88</v>
      </c>
      <c r="P128" s="60">
        <v>88</v>
      </c>
      <c r="Q128" s="61" t="e">
        <f>+R128/#REF!</f>
        <v>#REF!</v>
      </c>
      <c r="R128" s="53">
        <f t="shared" si="16"/>
        <v>400000000</v>
      </c>
      <c r="S128" s="53">
        <v>100000000</v>
      </c>
      <c r="T128" s="59">
        <v>100000000</v>
      </c>
      <c r="U128" s="59">
        <v>100000000</v>
      </c>
      <c r="V128" s="59">
        <v>100000000</v>
      </c>
    </row>
    <row r="129" spans="1:22" s="64" customFormat="1" ht="12.4" customHeight="1" x14ac:dyDescent="0.25">
      <c r="A129" s="30">
        <v>3</v>
      </c>
      <c r="B129" s="30">
        <v>2</v>
      </c>
      <c r="C129" s="30">
        <v>4</v>
      </c>
      <c r="D129" s="158" t="s">
        <v>38</v>
      </c>
      <c r="E129" s="158"/>
      <c r="F129" s="54" t="s">
        <v>378</v>
      </c>
      <c r="G129" s="57" t="s">
        <v>21</v>
      </c>
      <c r="H129" s="30" t="s">
        <v>18</v>
      </c>
      <c r="I129" s="156" t="s">
        <v>19</v>
      </c>
      <c r="J129" s="133"/>
      <c r="K129" s="137"/>
      <c r="L129" s="137"/>
      <c r="M129" s="137"/>
      <c r="N129" s="137"/>
      <c r="O129" s="137"/>
      <c r="P129" s="137"/>
      <c r="Q129" s="61"/>
      <c r="R129" s="53"/>
      <c r="S129" s="53"/>
      <c r="T129" s="59"/>
      <c r="U129" s="59"/>
      <c r="V129" s="59"/>
    </row>
    <row r="130" spans="1:22" s="64" customFormat="1" ht="12.4" customHeight="1" x14ac:dyDescent="0.25">
      <c r="A130" s="30">
        <v>3</v>
      </c>
      <c r="B130" s="30">
        <v>2</v>
      </c>
      <c r="C130" s="30">
        <v>4</v>
      </c>
      <c r="D130" s="136" t="s">
        <v>28</v>
      </c>
      <c r="E130" s="136"/>
      <c r="F130" s="54" t="s">
        <v>379</v>
      </c>
      <c r="G130" s="57" t="s">
        <v>21</v>
      </c>
      <c r="H130" s="30" t="s">
        <v>18</v>
      </c>
      <c r="I130" s="156" t="s">
        <v>19</v>
      </c>
      <c r="J130" s="133"/>
      <c r="K130" s="137">
        <v>3500</v>
      </c>
      <c r="L130" s="137">
        <v>3675</v>
      </c>
      <c r="M130" s="137">
        <v>3859</v>
      </c>
      <c r="N130" s="137">
        <v>4052</v>
      </c>
      <c r="O130" s="137">
        <v>200</v>
      </c>
      <c r="P130" s="137">
        <v>15285</v>
      </c>
      <c r="Q130" s="61" t="e">
        <f>+R130/#REF!</f>
        <v>#REF!</v>
      </c>
      <c r="R130" s="53">
        <f t="shared" si="16"/>
        <v>400000000</v>
      </c>
      <c r="S130" s="53">
        <v>100000000</v>
      </c>
      <c r="T130" s="59">
        <v>100000000</v>
      </c>
      <c r="U130" s="59">
        <v>100000000</v>
      </c>
      <c r="V130" s="59">
        <v>100000000</v>
      </c>
    </row>
    <row r="131" spans="1:22" s="64" customFormat="1" ht="12.4" customHeight="1" x14ac:dyDescent="0.25">
      <c r="A131" s="30">
        <v>3</v>
      </c>
      <c r="B131" s="30">
        <v>2</v>
      </c>
      <c r="C131" s="30">
        <v>4</v>
      </c>
      <c r="D131" s="135" t="s">
        <v>38</v>
      </c>
      <c r="E131" s="135"/>
      <c r="F131" s="54" t="s">
        <v>380</v>
      </c>
      <c r="G131" s="57" t="s">
        <v>17</v>
      </c>
      <c r="H131" s="176" t="s">
        <v>18</v>
      </c>
      <c r="I131" s="156" t="s">
        <v>19</v>
      </c>
      <c r="J131" s="133"/>
      <c r="K131" s="53">
        <v>108682609</v>
      </c>
      <c r="L131" s="53">
        <f>119550869+K131</f>
        <v>228233478</v>
      </c>
      <c r="M131" s="53">
        <f>131505956+L131</f>
        <v>359739434</v>
      </c>
      <c r="N131" s="53">
        <f>144656552+M131</f>
        <v>504395986</v>
      </c>
      <c r="O131" s="53">
        <f>159122207+N131</f>
        <v>663518193</v>
      </c>
      <c r="P131" s="53">
        <f>O131</f>
        <v>663518193</v>
      </c>
      <c r="Q131" s="61" t="e">
        <f>+R131/#REF!</f>
        <v>#REF!</v>
      </c>
      <c r="R131" s="53">
        <f t="shared" si="16"/>
        <v>400000000</v>
      </c>
      <c r="S131" s="53">
        <v>100000000</v>
      </c>
      <c r="T131" s="59">
        <v>100000000</v>
      </c>
      <c r="U131" s="59">
        <v>100000000</v>
      </c>
      <c r="V131" s="59">
        <v>100000000</v>
      </c>
    </row>
    <row r="132" spans="1:22" s="154" customFormat="1" ht="12.4" customHeight="1" x14ac:dyDescent="0.25">
      <c r="A132" s="149">
        <v>3</v>
      </c>
      <c r="B132" s="149">
        <v>2</v>
      </c>
      <c r="C132" s="149">
        <v>5</v>
      </c>
      <c r="D132" s="147" t="s">
        <v>2</v>
      </c>
      <c r="E132" s="147"/>
      <c r="F132" s="148" t="s">
        <v>381</v>
      </c>
      <c r="G132" s="150"/>
      <c r="H132" s="150"/>
      <c r="I132" s="150"/>
      <c r="J132" s="150"/>
      <c r="K132" s="151"/>
      <c r="L132" s="151"/>
      <c r="M132" s="151"/>
      <c r="N132" s="151"/>
      <c r="O132" s="151"/>
      <c r="P132" s="151"/>
      <c r="Q132" s="152" t="e">
        <f>+R132/#REF!</f>
        <v>#REF!</v>
      </c>
      <c r="R132" s="153">
        <f t="shared" si="16"/>
        <v>128548042511</v>
      </c>
      <c r="S132" s="153">
        <v>28246032631</v>
      </c>
      <c r="T132" s="153">
        <v>30684228677</v>
      </c>
      <c r="U132" s="153">
        <v>33354796390</v>
      </c>
      <c r="V132" s="153">
        <v>36262984813</v>
      </c>
    </row>
    <row r="133" spans="1:22" ht="12.4" customHeight="1" x14ac:dyDescent="0.25">
      <c r="A133" s="30">
        <v>3</v>
      </c>
      <c r="B133" s="30">
        <v>2</v>
      </c>
      <c r="C133" s="30">
        <v>5</v>
      </c>
      <c r="D133" s="50" t="s">
        <v>38</v>
      </c>
      <c r="E133" s="50"/>
      <c r="F133" s="54" t="s">
        <v>382</v>
      </c>
      <c r="G133" s="57" t="s">
        <v>17</v>
      </c>
      <c r="H133" s="30" t="s">
        <v>18</v>
      </c>
      <c r="I133" s="57" t="s">
        <v>40</v>
      </c>
      <c r="J133" s="60">
        <v>0</v>
      </c>
      <c r="K133" s="60">
        <v>0</v>
      </c>
      <c r="L133" s="60">
        <v>1</v>
      </c>
      <c r="M133" s="60">
        <v>1</v>
      </c>
      <c r="N133" s="60">
        <v>1</v>
      </c>
      <c r="O133" s="60">
        <v>1</v>
      </c>
      <c r="P133" s="60">
        <v>1</v>
      </c>
      <c r="Q133" s="61" t="e">
        <f>+R133/#REF!</f>
        <v>#REF!</v>
      </c>
      <c r="R133" s="53">
        <f t="shared" si="16"/>
        <v>0</v>
      </c>
      <c r="S133" s="53">
        <v>0</v>
      </c>
      <c r="T133" s="59">
        <v>0</v>
      </c>
      <c r="U133" s="59">
        <v>0</v>
      </c>
      <c r="V133" s="59">
        <v>0</v>
      </c>
    </row>
    <row r="134" spans="1:22" ht="12.4" customHeight="1" x14ac:dyDescent="0.25">
      <c r="A134" s="30">
        <v>3</v>
      </c>
      <c r="B134" s="30">
        <v>2</v>
      </c>
      <c r="C134" s="30">
        <v>5</v>
      </c>
      <c r="D134" s="136" t="s">
        <v>28</v>
      </c>
      <c r="E134" s="136"/>
      <c r="F134" s="54" t="s">
        <v>383</v>
      </c>
      <c r="G134" s="57" t="s">
        <v>17</v>
      </c>
      <c r="H134" s="57" t="s">
        <v>22</v>
      </c>
      <c r="I134" s="57" t="s">
        <v>30</v>
      </c>
      <c r="J134" s="60">
        <v>0</v>
      </c>
      <c r="K134" s="140">
        <v>0.7</v>
      </c>
      <c r="L134" s="140">
        <v>0.8</v>
      </c>
      <c r="M134" s="140">
        <v>0.85</v>
      </c>
      <c r="N134" s="140">
        <v>0.9</v>
      </c>
      <c r="O134" s="140">
        <v>0.9</v>
      </c>
      <c r="P134" s="140">
        <v>0.9</v>
      </c>
      <c r="Q134" s="61" t="e">
        <f>+R134/#REF!</f>
        <v>#REF!</v>
      </c>
      <c r="R134" s="53">
        <f t="shared" si="16"/>
        <v>0</v>
      </c>
      <c r="S134" s="53">
        <v>0</v>
      </c>
      <c r="T134" s="59">
        <v>0</v>
      </c>
      <c r="U134" s="59">
        <v>0</v>
      </c>
      <c r="V134" s="59">
        <v>0</v>
      </c>
    </row>
    <row r="135" spans="1:22" ht="12.4" customHeight="1" x14ac:dyDescent="0.25">
      <c r="A135" s="30">
        <v>3</v>
      </c>
      <c r="B135" s="30">
        <v>2</v>
      </c>
      <c r="C135" s="30">
        <v>5</v>
      </c>
      <c r="D135" s="50" t="s">
        <v>38</v>
      </c>
      <c r="E135" s="50"/>
      <c r="F135" s="54" t="s">
        <v>384</v>
      </c>
      <c r="G135" s="57" t="s">
        <v>17</v>
      </c>
      <c r="H135" s="30" t="s">
        <v>18</v>
      </c>
      <c r="I135" s="57" t="s">
        <v>40</v>
      </c>
      <c r="J135" s="60">
        <v>0</v>
      </c>
      <c r="K135" s="60">
        <v>1</v>
      </c>
      <c r="L135" s="60">
        <v>3</v>
      </c>
      <c r="M135" s="60">
        <v>5</v>
      </c>
      <c r="N135" s="60">
        <v>6</v>
      </c>
      <c r="O135" s="60">
        <v>6</v>
      </c>
      <c r="P135" s="60">
        <v>6</v>
      </c>
      <c r="Q135" s="61" t="e">
        <f>+R135/#REF!</f>
        <v>#REF!</v>
      </c>
      <c r="R135" s="53">
        <f t="shared" si="16"/>
        <v>0</v>
      </c>
      <c r="S135" s="53">
        <v>0</v>
      </c>
      <c r="T135" s="59">
        <v>0</v>
      </c>
      <c r="U135" s="59">
        <v>0</v>
      </c>
      <c r="V135" s="59">
        <v>0</v>
      </c>
    </row>
    <row r="136" spans="1:22" ht="12.4" customHeight="1" x14ac:dyDescent="0.25">
      <c r="A136" s="30">
        <v>3</v>
      </c>
      <c r="B136" s="30">
        <v>2</v>
      </c>
      <c r="C136" s="30">
        <v>5</v>
      </c>
      <c r="D136" s="136" t="s">
        <v>28</v>
      </c>
      <c r="E136" s="183"/>
      <c r="F136" s="27" t="s">
        <v>385</v>
      </c>
      <c r="G136" s="57" t="s">
        <v>21</v>
      </c>
      <c r="H136" s="30" t="s">
        <v>18</v>
      </c>
      <c r="I136" s="57" t="s">
        <v>40</v>
      </c>
      <c r="J136" s="60">
        <v>0</v>
      </c>
      <c r="K136" s="60">
        <v>0</v>
      </c>
      <c r="L136" s="60">
        <v>0</v>
      </c>
      <c r="M136" s="60">
        <v>0</v>
      </c>
      <c r="N136" s="60">
        <v>0</v>
      </c>
      <c r="O136" s="60">
        <v>1</v>
      </c>
      <c r="P136" s="60">
        <v>1</v>
      </c>
      <c r="Q136" s="61" t="e">
        <f>+R136/#REF!</f>
        <v>#REF!</v>
      </c>
      <c r="R136" s="53">
        <f t="shared" si="16"/>
        <v>0</v>
      </c>
      <c r="S136" s="53">
        <v>0</v>
      </c>
      <c r="T136" s="59">
        <v>0</v>
      </c>
      <c r="U136" s="59">
        <v>0</v>
      </c>
      <c r="V136" s="59">
        <v>0</v>
      </c>
    </row>
    <row r="137" spans="1:22" s="21" customFormat="1" ht="12.4" customHeight="1" x14ac:dyDescent="0.25">
      <c r="A137" s="93">
        <v>3</v>
      </c>
      <c r="B137" s="93">
        <v>3</v>
      </c>
      <c r="C137" s="93">
        <v>0</v>
      </c>
      <c r="D137" s="94" t="s">
        <v>1</v>
      </c>
      <c r="E137" s="94"/>
      <c r="F137" s="95" t="s">
        <v>172</v>
      </c>
      <c r="G137" s="96"/>
      <c r="H137" s="96"/>
      <c r="I137" s="96"/>
      <c r="J137" s="96"/>
      <c r="K137" s="97"/>
      <c r="L137" s="97"/>
      <c r="M137" s="97"/>
      <c r="N137" s="97"/>
      <c r="O137" s="97"/>
      <c r="P137" s="97"/>
      <c r="Q137" s="98" t="e">
        <f>+R137/#REF!</f>
        <v>#REF!</v>
      </c>
      <c r="R137" s="99" t="e">
        <f>+R138+#REF!+#REF!+#REF!</f>
        <v>#REF!</v>
      </c>
      <c r="S137" s="99" t="e">
        <f>+S138+#REF!+#REF!+#REF!</f>
        <v>#REF!</v>
      </c>
      <c r="T137" s="99" t="e">
        <f>+T138+#REF!+#REF!+#REF!</f>
        <v>#REF!</v>
      </c>
      <c r="U137" s="99" t="e">
        <f>+U138+#REF!+#REF!+#REF!</f>
        <v>#REF!</v>
      </c>
      <c r="V137" s="99" t="e">
        <f>+V138+#REF!+#REF!+#REF!</f>
        <v>#REF!</v>
      </c>
    </row>
    <row r="138" spans="1:22" s="21" customFormat="1" ht="12.4" customHeight="1" x14ac:dyDescent="0.25">
      <c r="A138" s="100">
        <v>3</v>
      </c>
      <c r="B138" s="100">
        <v>3</v>
      </c>
      <c r="C138" s="100">
        <v>1</v>
      </c>
      <c r="D138" s="101" t="s">
        <v>2</v>
      </c>
      <c r="E138" s="101"/>
      <c r="F138" s="102" t="s">
        <v>177</v>
      </c>
      <c r="G138" s="103"/>
      <c r="H138" s="103"/>
      <c r="I138" s="103"/>
      <c r="J138" s="103"/>
      <c r="K138" s="104"/>
      <c r="L138" s="104"/>
      <c r="M138" s="104"/>
      <c r="N138" s="104"/>
      <c r="O138" s="104"/>
      <c r="P138" s="104"/>
      <c r="Q138" s="105" t="e">
        <f>+R138/#REF!</f>
        <v>#REF!</v>
      </c>
      <c r="R138" s="106" t="e">
        <f>+R139+R146+#REF!</f>
        <v>#REF!</v>
      </c>
      <c r="S138" s="106" t="e">
        <f>+S139+S146+#REF!</f>
        <v>#REF!</v>
      </c>
      <c r="T138" s="106" t="e">
        <f>+T139+T146+#REF!</f>
        <v>#REF!</v>
      </c>
      <c r="U138" s="106" t="e">
        <f>+U139+U146+#REF!</f>
        <v>#REF!</v>
      </c>
      <c r="V138" s="106" t="e">
        <f>+V139+V146+#REF!</f>
        <v>#REF!</v>
      </c>
    </row>
    <row r="139" spans="1:22" s="21" customFormat="1" ht="12.4" customHeight="1" x14ac:dyDescent="0.25">
      <c r="A139" s="29">
        <v>3</v>
      </c>
      <c r="B139" s="29">
        <v>3</v>
      </c>
      <c r="C139" s="29">
        <v>1</v>
      </c>
      <c r="D139" s="135" t="s">
        <v>38</v>
      </c>
      <c r="E139" s="184"/>
      <c r="F139" s="27" t="s">
        <v>386</v>
      </c>
      <c r="G139" s="142"/>
      <c r="H139" s="142"/>
      <c r="I139" s="142"/>
      <c r="J139" s="142"/>
      <c r="K139" s="143"/>
      <c r="L139" s="143"/>
      <c r="M139" s="143"/>
      <c r="N139" s="143"/>
      <c r="O139" s="143"/>
      <c r="P139" s="143"/>
      <c r="Q139" s="49" t="e">
        <f>+R139/#REF!</f>
        <v>#REF!</v>
      </c>
      <c r="R139" s="24" t="e">
        <f>+SUM(R140:R145)</f>
        <v>#REF!</v>
      </c>
      <c r="S139" s="24" t="e">
        <f>+SUM(S140:S145)</f>
        <v>#REF!</v>
      </c>
      <c r="T139" s="24" t="e">
        <f>+SUM(T140:T145)</f>
        <v>#REF!</v>
      </c>
      <c r="U139" s="24" t="e">
        <f>+SUM(U140:U145)</f>
        <v>#REF!</v>
      </c>
      <c r="V139" s="24" t="e">
        <f>+SUM(V140:V145)</f>
        <v>#REF!</v>
      </c>
    </row>
    <row r="140" spans="1:22" ht="12.4" customHeight="1" x14ac:dyDescent="0.25">
      <c r="A140" s="30">
        <v>3</v>
      </c>
      <c r="B140" s="30">
        <v>3</v>
      </c>
      <c r="C140" s="30">
        <v>1</v>
      </c>
      <c r="D140" s="158" t="s">
        <v>38</v>
      </c>
      <c r="E140" s="185"/>
      <c r="F140" s="27" t="s">
        <v>387</v>
      </c>
      <c r="G140" s="57" t="s">
        <v>21</v>
      </c>
      <c r="H140" s="133"/>
      <c r="I140" s="133"/>
      <c r="J140" s="133"/>
      <c r="K140" s="137"/>
      <c r="L140" s="137"/>
      <c r="M140" s="137"/>
      <c r="N140" s="137"/>
      <c r="O140" s="137"/>
      <c r="P140" s="137"/>
      <c r="Q140" s="61" t="e">
        <f>+R140/#REF!</f>
        <v>#REF!</v>
      </c>
      <c r="R140" s="53">
        <f t="shared" ref="R140:R145" si="18">+SUM(S140:V140)</f>
        <v>14402108690</v>
      </c>
      <c r="S140" s="59">
        <v>3000000000</v>
      </c>
      <c r="T140" s="59">
        <v>3664934105</v>
      </c>
      <c r="U140" s="59">
        <v>3891071331</v>
      </c>
      <c r="V140" s="59">
        <v>3846103254</v>
      </c>
    </row>
    <row r="141" spans="1:22" s="21" customFormat="1" ht="12.4" customHeight="1" x14ac:dyDescent="0.25">
      <c r="A141" s="100">
        <v>3</v>
      </c>
      <c r="B141" s="100">
        <v>3</v>
      </c>
      <c r="C141" s="100">
        <v>2</v>
      </c>
      <c r="D141" s="101" t="s">
        <v>2</v>
      </c>
      <c r="E141" s="101"/>
      <c r="F141" s="102" t="s">
        <v>388</v>
      </c>
      <c r="G141" s="103"/>
      <c r="H141" s="103"/>
      <c r="I141" s="103"/>
      <c r="J141" s="103"/>
      <c r="K141" s="104"/>
      <c r="L141" s="104"/>
      <c r="M141" s="104"/>
      <c r="N141" s="104"/>
      <c r="O141" s="104"/>
      <c r="P141" s="104"/>
      <c r="Q141" s="105" t="e">
        <f>+R141/#REF!</f>
        <v>#REF!</v>
      </c>
      <c r="R141" s="106" t="e">
        <f>+R142+#REF!+#REF!</f>
        <v>#REF!</v>
      </c>
      <c r="S141" s="106" t="e">
        <f>+S142+#REF!+#REF!</f>
        <v>#REF!</v>
      </c>
      <c r="T141" s="106" t="e">
        <f>+T142+#REF!+#REF!</f>
        <v>#REF!</v>
      </c>
      <c r="U141" s="106" t="e">
        <f>+U142+#REF!+#REF!</f>
        <v>#REF!</v>
      </c>
      <c r="V141" s="106" t="e">
        <f>+V142+#REF!+#REF!</f>
        <v>#REF!</v>
      </c>
    </row>
    <row r="142" spans="1:22" ht="12.4" customHeight="1" x14ac:dyDescent="0.25">
      <c r="A142" s="30">
        <v>3</v>
      </c>
      <c r="B142" s="30">
        <v>3</v>
      </c>
      <c r="C142" s="30">
        <v>2</v>
      </c>
      <c r="D142" s="158" t="s">
        <v>38</v>
      </c>
      <c r="E142" s="185"/>
      <c r="F142" s="27" t="s">
        <v>182</v>
      </c>
      <c r="G142" s="57" t="s">
        <v>21</v>
      </c>
      <c r="H142" s="134"/>
      <c r="I142" s="134"/>
      <c r="J142" s="134"/>
      <c r="K142" s="60">
        <v>265</v>
      </c>
      <c r="L142" s="60">
        <v>278</v>
      </c>
      <c r="M142" s="60">
        <v>292</v>
      </c>
      <c r="N142" s="60">
        <v>306</v>
      </c>
      <c r="O142" s="60">
        <v>26</v>
      </c>
      <c r="P142" s="60">
        <v>1167.4657529999999</v>
      </c>
      <c r="Q142" s="61" t="e">
        <f>+R142/#REF!</f>
        <v>#REF!</v>
      </c>
      <c r="R142" s="53">
        <f t="shared" si="18"/>
        <v>470000000</v>
      </c>
      <c r="S142" s="59">
        <v>50000000</v>
      </c>
      <c r="T142" s="59">
        <v>120000000</v>
      </c>
      <c r="U142" s="59">
        <v>140000000</v>
      </c>
      <c r="V142" s="59">
        <v>160000000</v>
      </c>
    </row>
    <row r="143" spans="1:22" ht="12.75" customHeight="1" x14ac:dyDescent="0.25">
      <c r="A143" s="30">
        <v>3</v>
      </c>
      <c r="B143" s="30">
        <v>3</v>
      </c>
      <c r="C143" s="30">
        <v>2</v>
      </c>
      <c r="D143" s="158" t="s">
        <v>38</v>
      </c>
      <c r="E143" s="185"/>
      <c r="F143" s="27" t="s">
        <v>389</v>
      </c>
      <c r="G143" s="57" t="s">
        <v>21</v>
      </c>
      <c r="H143" s="134"/>
      <c r="I143" s="134"/>
      <c r="J143" s="134"/>
      <c r="K143" s="60">
        <v>60</v>
      </c>
      <c r="L143" s="60">
        <v>63</v>
      </c>
      <c r="M143" s="60">
        <v>66</v>
      </c>
      <c r="N143" s="60">
        <v>69</v>
      </c>
      <c r="O143" s="60">
        <v>14</v>
      </c>
      <c r="P143" s="60">
        <v>272</v>
      </c>
      <c r="Q143" s="61" t="e">
        <f>+R143/#REF!</f>
        <v>#REF!</v>
      </c>
      <c r="R143" s="53">
        <f t="shared" si="18"/>
        <v>187631866</v>
      </c>
      <c r="S143" s="59">
        <v>41639415</v>
      </c>
      <c r="T143" s="59">
        <v>44970568</v>
      </c>
      <c r="U143" s="59">
        <v>48568213</v>
      </c>
      <c r="V143" s="59">
        <v>52453670</v>
      </c>
    </row>
    <row r="144" spans="1:22" s="172" customFormat="1" ht="12.4" customHeight="1" x14ac:dyDescent="0.25">
      <c r="A144" s="100">
        <v>3</v>
      </c>
      <c r="B144" s="100">
        <v>3</v>
      </c>
      <c r="C144" s="100">
        <v>3</v>
      </c>
      <c r="D144" s="101" t="s">
        <v>2</v>
      </c>
      <c r="E144" s="101"/>
      <c r="F144" s="102" t="s">
        <v>390</v>
      </c>
      <c r="G144" s="103"/>
      <c r="H144" s="103"/>
      <c r="I144" s="103"/>
      <c r="J144" s="103"/>
      <c r="K144" s="104"/>
      <c r="L144" s="104"/>
      <c r="M144" s="104"/>
      <c r="N144" s="104"/>
      <c r="O144" s="104"/>
      <c r="P144" s="104"/>
      <c r="Q144" s="105" t="e">
        <f>+R144/#REF!</f>
        <v>#REF!</v>
      </c>
      <c r="R144" s="106" t="e">
        <f>+R145+#REF!+#REF!</f>
        <v>#REF!</v>
      </c>
      <c r="S144" s="106" t="e">
        <f>+S145+#REF!+#REF!</f>
        <v>#REF!</v>
      </c>
      <c r="T144" s="106" t="e">
        <f>+T145+#REF!+#REF!</f>
        <v>#REF!</v>
      </c>
      <c r="U144" s="106" t="e">
        <f>+U145+#REF!+#REF!</f>
        <v>#REF!</v>
      </c>
      <c r="V144" s="106" t="e">
        <f>+V145+#REF!+#REF!</f>
        <v>#REF!</v>
      </c>
    </row>
    <row r="145" spans="1:22" ht="12.4" customHeight="1" x14ac:dyDescent="0.25">
      <c r="A145" s="30">
        <v>3</v>
      </c>
      <c r="B145" s="30">
        <v>3</v>
      </c>
      <c r="C145" s="30">
        <v>3</v>
      </c>
      <c r="D145" s="50" t="s">
        <v>38</v>
      </c>
      <c r="E145" s="50"/>
      <c r="F145" s="54" t="s">
        <v>391</v>
      </c>
      <c r="G145" s="57" t="s">
        <v>17</v>
      </c>
      <c r="H145" s="57"/>
      <c r="I145" s="57"/>
      <c r="J145" s="57"/>
      <c r="K145" s="140">
        <v>0.7</v>
      </c>
      <c r="L145" s="140">
        <v>0.74</v>
      </c>
      <c r="M145" s="140">
        <v>0.78</v>
      </c>
      <c r="N145" s="140">
        <v>0.82</v>
      </c>
      <c r="O145" s="140">
        <v>0.85</v>
      </c>
      <c r="P145" s="141"/>
      <c r="Q145" s="58" t="e">
        <f>+R145/#REF!</f>
        <v>#REF!</v>
      </c>
      <c r="R145" s="53">
        <f t="shared" si="18"/>
        <v>174642858</v>
      </c>
      <c r="S145" s="59">
        <v>0</v>
      </c>
      <c r="T145" s="59">
        <v>52762193</v>
      </c>
      <c r="U145" s="59">
        <v>58038412</v>
      </c>
      <c r="V145" s="59">
        <v>63842253</v>
      </c>
    </row>
    <row r="146" spans="1:22" s="172" customFormat="1" ht="12.4" customHeight="1" x14ac:dyDescent="0.25">
      <c r="A146" s="100">
        <v>3</v>
      </c>
      <c r="B146" s="100">
        <v>3</v>
      </c>
      <c r="C146" s="100">
        <v>4</v>
      </c>
      <c r="D146" s="101" t="s">
        <v>2</v>
      </c>
      <c r="E146" s="101"/>
      <c r="F146" s="102" t="s">
        <v>392</v>
      </c>
      <c r="G146" s="103"/>
      <c r="H146" s="103"/>
      <c r="I146" s="103"/>
      <c r="J146" s="103"/>
      <c r="K146" s="104"/>
      <c r="L146" s="104"/>
      <c r="M146" s="104"/>
      <c r="N146" s="104"/>
      <c r="O146" s="104"/>
      <c r="P146" s="104"/>
      <c r="Q146" s="105" t="e">
        <f>+R146/#REF!</f>
        <v>#REF!</v>
      </c>
      <c r="R146" s="106">
        <f>+SUM(R147:R147)</f>
        <v>87443821</v>
      </c>
      <c r="S146" s="106">
        <f>+SUM(S147:S147)</f>
        <v>0</v>
      </c>
      <c r="T146" s="106">
        <f>+SUM(T147:T147)</f>
        <v>41639915</v>
      </c>
      <c r="U146" s="106">
        <f>+SUM(U147:U147)</f>
        <v>45803906</v>
      </c>
      <c r="V146" s="106">
        <f>+SUM(V147:V147)</f>
        <v>0</v>
      </c>
    </row>
    <row r="147" spans="1:22" ht="12.4" customHeight="1" x14ac:dyDescent="0.25">
      <c r="A147" s="30">
        <v>3</v>
      </c>
      <c r="B147" s="30">
        <v>3</v>
      </c>
      <c r="C147" s="30">
        <v>4</v>
      </c>
      <c r="D147" s="136" t="s">
        <v>28</v>
      </c>
      <c r="E147" s="136"/>
      <c r="F147" s="54" t="s">
        <v>173</v>
      </c>
      <c r="G147" s="57" t="s">
        <v>21</v>
      </c>
      <c r="H147" s="57"/>
      <c r="I147" s="57"/>
      <c r="J147" s="57"/>
      <c r="K147" s="137"/>
      <c r="L147" s="137"/>
      <c r="M147" s="137"/>
      <c r="N147" s="137"/>
      <c r="O147" s="137"/>
      <c r="P147" s="137"/>
      <c r="Q147" s="61" t="e">
        <f>+R147/#REF!</f>
        <v>#REF!</v>
      </c>
      <c r="R147" s="53">
        <f>+SUM(S147:V147)</f>
        <v>87443821</v>
      </c>
      <c r="S147" s="59">
        <v>0</v>
      </c>
      <c r="T147" s="59">
        <v>41639915</v>
      </c>
      <c r="U147" s="59">
        <v>45803906</v>
      </c>
      <c r="V147" s="59">
        <v>0</v>
      </c>
    </row>
    <row r="148" spans="1:22" s="21" customFormat="1" ht="12.4" customHeight="1" x14ac:dyDescent="0.25">
      <c r="A148" s="93">
        <v>3</v>
      </c>
      <c r="B148" s="93">
        <v>4</v>
      </c>
      <c r="C148" s="93">
        <v>0</v>
      </c>
      <c r="D148" s="94" t="s">
        <v>1</v>
      </c>
      <c r="E148" s="94"/>
      <c r="F148" s="155" t="s">
        <v>187</v>
      </c>
      <c r="G148" s="96"/>
      <c r="H148" s="96"/>
      <c r="I148" s="96"/>
      <c r="J148" s="96"/>
      <c r="K148" s="97"/>
      <c r="L148" s="97"/>
      <c r="M148" s="97"/>
      <c r="N148" s="97"/>
      <c r="O148" s="97"/>
      <c r="P148" s="97"/>
      <c r="Q148" s="98" t="e">
        <f>+R148/#REF!</f>
        <v>#REF!</v>
      </c>
      <c r="R148" s="99" t="e">
        <f>+R149+#REF!+#REF!+#REF!</f>
        <v>#REF!</v>
      </c>
      <c r="S148" s="99" t="e">
        <f>+S149+#REF!+#REF!+#REF!</f>
        <v>#REF!</v>
      </c>
      <c r="T148" s="99" t="e">
        <f>+T149+#REF!+#REF!+#REF!</f>
        <v>#REF!</v>
      </c>
      <c r="U148" s="99" t="e">
        <f>+U149+#REF!+#REF!+#REF!</f>
        <v>#REF!</v>
      </c>
      <c r="V148" s="99" t="e">
        <f>+V149+#REF!+#REF!+#REF!</f>
        <v>#REF!</v>
      </c>
    </row>
    <row r="149" spans="1:22" s="172" customFormat="1" ht="12.4" customHeight="1" x14ac:dyDescent="0.25">
      <c r="A149" s="100">
        <v>3</v>
      </c>
      <c r="B149" s="100">
        <v>4</v>
      </c>
      <c r="C149" s="100">
        <v>1</v>
      </c>
      <c r="D149" s="101" t="s">
        <v>2</v>
      </c>
      <c r="E149" s="101"/>
      <c r="F149" s="148" t="s">
        <v>393</v>
      </c>
      <c r="G149" s="103"/>
      <c r="H149" s="103"/>
      <c r="I149" s="103"/>
      <c r="J149" s="103"/>
      <c r="K149" s="104"/>
      <c r="L149" s="104"/>
      <c r="M149" s="104"/>
      <c r="N149" s="104"/>
      <c r="O149" s="104"/>
      <c r="P149" s="104"/>
      <c r="Q149" s="105" t="e">
        <f>+R149/#REF!</f>
        <v>#REF!</v>
      </c>
      <c r="R149" s="106" t="e">
        <f>+R150+#REF!+#REF!</f>
        <v>#REF!</v>
      </c>
      <c r="S149" s="106" t="e">
        <f>+S150+#REF!+#REF!</f>
        <v>#REF!</v>
      </c>
      <c r="T149" s="106" t="e">
        <f>+T150+#REF!+#REF!</f>
        <v>#REF!</v>
      </c>
      <c r="U149" s="106" t="e">
        <f>+U150+#REF!+#REF!</f>
        <v>#REF!</v>
      </c>
      <c r="V149" s="106" t="e">
        <f>+V150+#REF!+#REF!</f>
        <v>#REF!</v>
      </c>
    </row>
    <row r="150" spans="1:22" s="21" customFormat="1" ht="12.4" customHeight="1" x14ac:dyDescent="0.25">
      <c r="A150" s="30">
        <v>3</v>
      </c>
      <c r="B150" s="30">
        <v>4</v>
      </c>
      <c r="C150" s="30">
        <v>1</v>
      </c>
      <c r="D150" s="50" t="s">
        <v>38</v>
      </c>
      <c r="E150" s="50"/>
      <c r="F150" s="54" t="s">
        <v>192</v>
      </c>
      <c r="G150" s="57" t="s">
        <v>21</v>
      </c>
      <c r="H150" s="57" t="s">
        <v>22</v>
      </c>
      <c r="I150" s="134" t="s">
        <v>40</v>
      </c>
      <c r="J150" s="182">
        <v>0.8</v>
      </c>
      <c r="K150" s="140">
        <v>0.8</v>
      </c>
      <c r="L150" s="140">
        <v>0.8</v>
      </c>
      <c r="M150" s="140">
        <v>0.8</v>
      </c>
      <c r="N150" s="140">
        <v>0.8</v>
      </c>
      <c r="O150" s="140">
        <v>0.8</v>
      </c>
      <c r="P150" s="140">
        <v>0.8</v>
      </c>
      <c r="Q150" s="49" t="e">
        <f>+R150/#REF!</f>
        <v>#REF!</v>
      </c>
      <c r="R150" s="24" t="e">
        <f t="shared" ref="R150:V150" si="19">+SUM(R155:R159)</f>
        <v>#REF!</v>
      </c>
      <c r="S150" s="24" t="e">
        <f t="shared" si="19"/>
        <v>#REF!</v>
      </c>
      <c r="T150" s="24" t="e">
        <f t="shared" si="19"/>
        <v>#REF!</v>
      </c>
      <c r="U150" s="24" t="e">
        <f t="shared" si="19"/>
        <v>#REF!</v>
      </c>
      <c r="V150" s="24" t="e">
        <f t="shared" si="19"/>
        <v>#REF!</v>
      </c>
    </row>
    <row r="151" spans="1:22" s="21" customFormat="1" ht="12.4" customHeight="1" x14ac:dyDescent="0.25">
      <c r="A151" s="30">
        <v>3</v>
      </c>
      <c r="B151" s="30">
        <v>4</v>
      </c>
      <c r="C151" s="30">
        <v>1</v>
      </c>
      <c r="D151" s="136" t="s">
        <v>28</v>
      </c>
      <c r="E151" s="136"/>
      <c r="F151" s="54" t="s">
        <v>188</v>
      </c>
      <c r="G151" s="57" t="s">
        <v>21</v>
      </c>
      <c r="H151" s="57" t="s">
        <v>22</v>
      </c>
      <c r="I151" s="134" t="s">
        <v>19</v>
      </c>
      <c r="J151" s="182">
        <v>0.75</v>
      </c>
      <c r="K151" s="140">
        <v>0.75</v>
      </c>
      <c r="L151" s="140">
        <v>0.8</v>
      </c>
      <c r="M151" s="140">
        <v>0.85</v>
      </c>
      <c r="N151" s="140">
        <v>0.85</v>
      </c>
      <c r="O151" s="140">
        <v>0.85</v>
      </c>
      <c r="P151" s="140">
        <v>0.85</v>
      </c>
      <c r="Q151" s="49" t="e">
        <f>+R151/#REF!</f>
        <v>#REF!</v>
      </c>
      <c r="R151" s="24" t="e">
        <f>+SUM(R156:R159)</f>
        <v>#REF!</v>
      </c>
      <c r="S151" s="24" t="e">
        <f>+SUM(S156:S159)</f>
        <v>#REF!</v>
      </c>
      <c r="T151" s="24" t="e">
        <f>+SUM(T156:T159)</f>
        <v>#REF!</v>
      </c>
      <c r="U151" s="24" t="e">
        <f>+SUM(U156:U159)</f>
        <v>#REF!</v>
      </c>
      <c r="V151" s="24" t="e">
        <f>+SUM(V156:V159)</f>
        <v>#REF!</v>
      </c>
    </row>
    <row r="152" spans="1:22" s="21" customFormat="1" ht="12.4" customHeight="1" x14ac:dyDescent="0.25">
      <c r="A152" s="30">
        <v>3</v>
      </c>
      <c r="B152" s="30">
        <v>4</v>
      </c>
      <c r="C152" s="30">
        <v>1</v>
      </c>
      <c r="D152" s="136" t="s">
        <v>28</v>
      </c>
      <c r="E152" s="136"/>
      <c r="F152" s="54" t="s">
        <v>189</v>
      </c>
      <c r="G152" s="57" t="s">
        <v>21</v>
      </c>
      <c r="H152" s="57" t="s">
        <v>22</v>
      </c>
      <c r="I152" s="134" t="s">
        <v>23</v>
      </c>
      <c r="J152" s="182">
        <v>0.8</v>
      </c>
      <c r="K152" s="140">
        <v>0.8</v>
      </c>
      <c r="L152" s="140">
        <v>0.8</v>
      </c>
      <c r="M152" s="140">
        <v>0.8</v>
      </c>
      <c r="N152" s="140">
        <v>0.8</v>
      </c>
      <c r="O152" s="140">
        <v>0.8</v>
      </c>
      <c r="P152" s="140">
        <v>0.8</v>
      </c>
      <c r="Q152" s="49"/>
      <c r="R152" s="24"/>
      <c r="S152" s="24"/>
      <c r="T152" s="24"/>
      <c r="U152" s="24"/>
      <c r="V152" s="24"/>
    </row>
    <row r="153" spans="1:22" s="21" customFormat="1" ht="12.4" customHeight="1" x14ac:dyDescent="0.25">
      <c r="A153" s="30">
        <v>3</v>
      </c>
      <c r="B153" s="30">
        <v>4</v>
      </c>
      <c r="C153" s="30">
        <v>1</v>
      </c>
      <c r="D153" s="177" t="s">
        <v>15</v>
      </c>
      <c r="E153" s="177"/>
      <c r="F153" s="54" t="s">
        <v>394</v>
      </c>
      <c r="G153" s="57" t="s">
        <v>21</v>
      </c>
      <c r="H153" s="57" t="s">
        <v>22</v>
      </c>
      <c r="I153" s="134"/>
      <c r="J153" s="182">
        <v>0.75</v>
      </c>
      <c r="K153" s="140">
        <v>0.75</v>
      </c>
      <c r="L153" s="140">
        <v>0.8</v>
      </c>
      <c r="M153" s="140">
        <v>0.85</v>
      </c>
      <c r="N153" s="140">
        <v>0.85</v>
      </c>
      <c r="O153" s="140">
        <v>0.85</v>
      </c>
      <c r="P153" s="140">
        <v>0.85</v>
      </c>
      <c r="Q153" s="49"/>
      <c r="R153" s="24"/>
      <c r="S153" s="24"/>
      <c r="T153" s="24"/>
      <c r="U153" s="24"/>
      <c r="V153" s="24"/>
    </row>
    <row r="154" spans="1:22" s="21" customFormat="1" ht="12.4" customHeight="1" x14ac:dyDescent="0.25">
      <c r="A154" s="30">
        <v>3</v>
      </c>
      <c r="B154" s="30">
        <v>4</v>
      </c>
      <c r="C154" s="30">
        <v>1</v>
      </c>
      <c r="D154" s="136" t="s">
        <v>28</v>
      </c>
      <c r="E154" s="136"/>
      <c r="F154" s="54" t="s">
        <v>190</v>
      </c>
      <c r="G154" s="57" t="s">
        <v>21</v>
      </c>
      <c r="H154" s="57" t="s">
        <v>22</v>
      </c>
      <c r="I154" s="134" t="s">
        <v>23</v>
      </c>
      <c r="J154" s="182">
        <v>0.8</v>
      </c>
      <c r="K154" s="140">
        <v>0.8</v>
      </c>
      <c r="L154" s="140">
        <v>0.8</v>
      </c>
      <c r="M154" s="140">
        <v>0.8</v>
      </c>
      <c r="N154" s="140">
        <v>0.8</v>
      </c>
      <c r="O154" s="140">
        <v>0.8</v>
      </c>
      <c r="P154" s="140">
        <v>0.8</v>
      </c>
      <c r="Q154" s="178"/>
      <c r="R154" s="24"/>
      <c r="S154" s="24"/>
      <c r="T154" s="24"/>
      <c r="U154" s="24"/>
      <c r="V154" s="24"/>
    </row>
    <row r="155" spans="1:22" s="172" customFormat="1" ht="12.4" customHeight="1" x14ac:dyDescent="0.25">
      <c r="A155" s="100">
        <v>3</v>
      </c>
      <c r="B155" s="100">
        <v>4</v>
      </c>
      <c r="C155" s="100">
        <v>2</v>
      </c>
      <c r="D155" s="101" t="s">
        <v>2</v>
      </c>
      <c r="E155" s="101"/>
      <c r="F155" s="148" t="s">
        <v>395</v>
      </c>
      <c r="G155" s="103"/>
      <c r="H155" s="103"/>
      <c r="I155" s="103"/>
      <c r="J155" s="103"/>
      <c r="K155" s="104"/>
      <c r="L155" s="104"/>
      <c r="M155" s="104"/>
      <c r="N155" s="104"/>
      <c r="O155" s="104"/>
      <c r="P155" s="104"/>
      <c r="Q155" s="105" t="e">
        <f>+R155/#REF!</f>
        <v>#REF!</v>
      </c>
      <c r="R155" s="106" t="e">
        <f>+R156+#REF!+#REF!</f>
        <v>#REF!</v>
      </c>
      <c r="S155" s="106" t="e">
        <f>+S156+#REF!+#REF!</f>
        <v>#REF!</v>
      </c>
      <c r="T155" s="106" t="e">
        <f>+T156+#REF!+#REF!</f>
        <v>#REF!</v>
      </c>
      <c r="U155" s="106" t="e">
        <f>+U156+#REF!+#REF!</f>
        <v>#REF!</v>
      </c>
      <c r="V155" s="106" t="e">
        <f>+V156+#REF!+#REF!</f>
        <v>#REF!</v>
      </c>
    </row>
    <row r="156" spans="1:22" ht="12.4" customHeight="1" x14ac:dyDescent="0.25">
      <c r="A156" s="30"/>
      <c r="B156" s="30"/>
      <c r="C156" s="30"/>
      <c r="D156" s="136"/>
      <c r="E156" s="136"/>
      <c r="F156" s="54"/>
      <c r="G156" s="57"/>
      <c r="H156" s="57"/>
      <c r="I156" s="57"/>
      <c r="J156" s="140"/>
      <c r="K156" s="141"/>
      <c r="L156" s="141"/>
      <c r="M156" s="141"/>
      <c r="N156" s="141"/>
      <c r="O156" s="141"/>
      <c r="P156" s="141"/>
      <c r="Q156" s="61"/>
      <c r="R156" s="53"/>
      <c r="S156" s="59"/>
      <c r="T156" s="59"/>
      <c r="U156" s="59"/>
      <c r="V156" s="59"/>
    </row>
    <row r="157" spans="1:22" s="172" customFormat="1" ht="12.4" customHeight="1" x14ac:dyDescent="0.25">
      <c r="A157" s="100">
        <v>3</v>
      </c>
      <c r="B157" s="100">
        <v>4</v>
      </c>
      <c r="C157" s="100">
        <v>3</v>
      </c>
      <c r="D157" s="101" t="s">
        <v>2</v>
      </c>
      <c r="E157" s="101"/>
      <c r="F157" s="148" t="s">
        <v>396</v>
      </c>
      <c r="G157" s="103"/>
      <c r="H157" s="103"/>
      <c r="I157" s="103"/>
      <c r="J157" s="103"/>
      <c r="K157" s="104"/>
      <c r="L157" s="104"/>
      <c r="M157" s="104"/>
      <c r="N157" s="104"/>
      <c r="O157" s="104"/>
      <c r="P157" s="104"/>
      <c r="Q157" s="105" t="e">
        <f>+R157/#REF!</f>
        <v>#REF!</v>
      </c>
      <c r="R157" s="106" t="e">
        <f>+R158+#REF!+#REF!</f>
        <v>#REF!</v>
      </c>
      <c r="S157" s="106" t="e">
        <f>+S158+#REF!+#REF!</f>
        <v>#REF!</v>
      </c>
      <c r="T157" s="106" t="e">
        <f>+T158+#REF!+#REF!</f>
        <v>#REF!</v>
      </c>
      <c r="U157" s="106" t="e">
        <f>+U158+#REF!+#REF!</f>
        <v>#REF!</v>
      </c>
      <c r="V157" s="106" t="e">
        <f>+V158+#REF!+#REF!</f>
        <v>#REF!</v>
      </c>
    </row>
    <row r="158" spans="1:22" ht="12.4" customHeight="1" x14ac:dyDescent="0.25">
      <c r="A158" s="30">
        <v>3</v>
      </c>
      <c r="B158" s="30">
        <v>4</v>
      </c>
      <c r="C158" s="30">
        <v>3</v>
      </c>
      <c r="D158" s="136" t="s">
        <v>28</v>
      </c>
      <c r="E158" s="136"/>
      <c r="F158" s="54" t="s">
        <v>397</v>
      </c>
      <c r="G158" s="57" t="s">
        <v>21</v>
      </c>
      <c r="H158" s="57" t="s">
        <v>22</v>
      </c>
      <c r="I158" s="57" t="s">
        <v>30</v>
      </c>
      <c r="J158" s="140">
        <v>0.14000000000000001</v>
      </c>
      <c r="K158" s="140">
        <v>0.14000000000000001</v>
      </c>
      <c r="L158" s="140">
        <v>0.14000000000000001</v>
      </c>
      <c r="M158" s="140">
        <v>0.14000000000000001</v>
      </c>
      <c r="N158" s="140">
        <v>0.14000000000000001</v>
      </c>
      <c r="O158" s="140">
        <v>0.14000000000000001</v>
      </c>
      <c r="P158" s="140">
        <v>0.14000000000000001</v>
      </c>
      <c r="Q158" s="58" t="e">
        <f>+R158/#REF!</f>
        <v>#REF!</v>
      </c>
      <c r="R158" s="53">
        <f t="shared" ref="R158:R159" si="20">+SUM(S158:V158)</f>
        <v>174642858</v>
      </c>
      <c r="S158" s="59">
        <v>0</v>
      </c>
      <c r="T158" s="59">
        <v>52762193</v>
      </c>
      <c r="U158" s="59">
        <v>58038412</v>
      </c>
      <c r="V158" s="59">
        <v>63842253</v>
      </c>
    </row>
    <row r="159" spans="1:22" ht="12.4" customHeight="1" x14ac:dyDescent="0.25">
      <c r="A159" s="30">
        <v>3</v>
      </c>
      <c r="B159" s="30">
        <v>4</v>
      </c>
      <c r="C159" s="30">
        <v>3</v>
      </c>
      <c r="D159" s="50" t="s">
        <v>38</v>
      </c>
      <c r="E159" s="50"/>
      <c r="F159" s="54" t="s">
        <v>398</v>
      </c>
      <c r="G159" s="57" t="s">
        <v>17</v>
      </c>
      <c r="H159" s="57" t="s">
        <v>22</v>
      </c>
      <c r="I159" s="57" t="s">
        <v>30</v>
      </c>
      <c r="J159" s="140">
        <v>0</v>
      </c>
      <c r="K159" s="140">
        <v>0.7</v>
      </c>
      <c r="L159" s="140">
        <v>0.8</v>
      </c>
      <c r="M159" s="140">
        <v>0.9</v>
      </c>
      <c r="N159" s="140">
        <v>0.9</v>
      </c>
      <c r="O159" s="140">
        <v>0.9</v>
      </c>
      <c r="P159" s="140">
        <v>0.9</v>
      </c>
      <c r="Q159" s="61" t="e">
        <f>+R159/#REF!</f>
        <v>#REF!</v>
      </c>
      <c r="R159" s="53">
        <f t="shared" si="20"/>
        <v>150000000</v>
      </c>
      <c r="S159" s="59">
        <v>19634752</v>
      </c>
      <c r="T159" s="59">
        <v>42842302</v>
      </c>
      <c r="U159" s="59">
        <v>43449015</v>
      </c>
      <c r="V159" s="59">
        <v>44073931</v>
      </c>
    </row>
    <row r="160" spans="1:22" ht="12.4" customHeight="1" x14ac:dyDescent="0.25">
      <c r="A160" s="107">
        <v>4</v>
      </c>
      <c r="B160" s="107">
        <v>0</v>
      </c>
      <c r="C160" s="107">
        <v>0</v>
      </c>
      <c r="D160" s="108" t="s">
        <v>0</v>
      </c>
      <c r="E160" s="108"/>
      <c r="F160" s="109" t="s">
        <v>196</v>
      </c>
      <c r="G160" s="107"/>
      <c r="H160" s="107"/>
      <c r="I160" s="107"/>
      <c r="J160" s="107"/>
      <c r="K160" s="110"/>
      <c r="L160" s="110"/>
      <c r="M160" s="110"/>
      <c r="N160" s="110"/>
      <c r="O160" s="110"/>
      <c r="P160" s="110"/>
      <c r="Q160" s="111" t="e">
        <f ca="1">+R160/#REF!</f>
        <v>#REF!</v>
      </c>
      <c r="R160" s="112" t="e">
        <f ca="1">+R161+R205</f>
        <v>#REF!</v>
      </c>
      <c r="S160" s="112" t="e">
        <f ca="1">+S161+S205</f>
        <v>#REF!</v>
      </c>
      <c r="T160" s="112" t="e">
        <f ca="1">+T161+T205</f>
        <v>#REF!</v>
      </c>
      <c r="U160" s="112" t="e">
        <f ca="1">+U161+U205</f>
        <v>#REF!</v>
      </c>
      <c r="V160" s="112" t="e">
        <f ca="1">+V161+V205</f>
        <v>#REF!</v>
      </c>
    </row>
    <row r="161" spans="1:22" ht="12.4" customHeight="1" x14ac:dyDescent="0.25">
      <c r="A161" s="113">
        <v>4</v>
      </c>
      <c r="B161" s="113">
        <v>1</v>
      </c>
      <c r="C161" s="113">
        <v>0</v>
      </c>
      <c r="D161" s="114" t="s">
        <v>1</v>
      </c>
      <c r="E161" s="114"/>
      <c r="F161" s="115" t="s">
        <v>203</v>
      </c>
      <c r="G161" s="113"/>
      <c r="H161" s="113"/>
      <c r="I161" s="113"/>
      <c r="J161" s="113"/>
      <c r="K161" s="116"/>
      <c r="L161" s="116"/>
      <c r="M161" s="116"/>
      <c r="N161" s="116"/>
      <c r="O161" s="116"/>
      <c r="P161" s="116"/>
      <c r="Q161" s="117" t="e">
        <f ca="1">+R161/#REF!</f>
        <v>#REF!</v>
      </c>
      <c r="R161" s="118" t="e">
        <f ca="1">+R162</f>
        <v>#REF!</v>
      </c>
      <c r="S161" s="118" t="e">
        <f ca="1">+S162</f>
        <v>#REF!</v>
      </c>
      <c r="T161" s="118" t="e">
        <f ca="1">+T162</f>
        <v>#REF!</v>
      </c>
      <c r="U161" s="118" t="e">
        <f ca="1">+U162</f>
        <v>#REF!</v>
      </c>
      <c r="V161" s="118" t="e">
        <f ca="1">+V162</f>
        <v>#REF!</v>
      </c>
    </row>
    <row r="162" spans="1:22" s="173" customFormat="1" ht="12.4" customHeight="1" x14ac:dyDescent="0.25">
      <c r="A162" s="119">
        <v>4</v>
      </c>
      <c r="B162" s="119">
        <v>1</v>
      </c>
      <c r="C162" s="119">
        <v>1</v>
      </c>
      <c r="D162" s="120" t="s">
        <v>2</v>
      </c>
      <c r="E162" s="120"/>
      <c r="F162" s="121" t="s">
        <v>399</v>
      </c>
      <c r="G162" s="119"/>
      <c r="H162" s="119"/>
      <c r="I162" s="119"/>
      <c r="J162" s="119"/>
      <c r="K162" s="122"/>
      <c r="L162" s="122"/>
      <c r="M162" s="122"/>
      <c r="N162" s="122"/>
      <c r="O162" s="122"/>
      <c r="P162" s="122"/>
      <c r="Q162" s="123" t="e">
        <f ca="1">+R162/#REF!</f>
        <v>#REF!</v>
      </c>
      <c r="R162" s="124" t="e">
        <f ca="1">+R163+R191+#REF!</f>
        <v>#REF!</v>
      </c>
      <c r="S162" s="124" t="e">
        <f ca="1">+S163+S191+#REF!</f>
        <v>#REF!</v>
      </c>
      <c r="T162" s="124" t="e">
        <f ca="1">+T163+T191+#REF!</f>
        <v>#REF!</v>
      </c>
      <c r="U162" s="124" t="e">
        <f ca="1">+U163+U191+#REF!</f>
        <v>#REF!</v>
      </c>
      <c r="V162" s="124" t="e">
        <f ca="1">+V163+V191+#REF!</f>
        <v>#REF!</v>
      </c>
    </row>
    <row r="163" spans="1:22" s="21" customFormat="1" ht="12.4" customHeight="1" x14ac:dyDescent="0.25">
      <c r="A163" s="30">
        <v>4</v>
      </c>
      <c r="B163" s="30">
        <v>1</v>
      </c>
      <c r="C163" s="30">
        <v>1</v>
      </c>
      <c r="D163" s="50" t="s">
        <v>38</v>
      </c>
      <c r="E163" s="50"/>
      <c r="F163" s="54" t="s">
        <v>400</v>
      </c>
      <c r="G163" s="57" t="s">
        <v>61</v>
      </c>
      <c r="H163" s="57" t="s">
        <v>18</v>
      </c>
      <c r="I163" s="57" t="s">
        <v>40</v>
      </c>
      <c r="J163" s="60">
        <v>0</v>
      </c>
      <c r="K163" s="60">
        <v>0</v>
      </c>
      <c r="L163" s="60">
        <v>1</v>
      </c>
      <c r="M163" s="60">
        <v>1</v>
      </c>
      <c r="N163" s="60">
        <v>1</v>
      </c>
      <c r="O163" s="60">
        <v>1</v>
      </c>
      <c r="P163" s="60">
        <v>1</v>
      </c>
      <c r="Q163" s="49" t="e">
        <f ca="1">+R163/#REF!</f>
        <v>#REF!</v>
      </c>
      <c r="R163" s="24" t="e">
        <f ca="1">+SUM(R164:R179)</f>
        <v>#REF!</v>
      </c>
      <c r="S163" s="24" t="e">
        <f ca="1">+SUM(S164:S179)</f>
        <v>#REF!</v>
      </c>
      <c r="T163" s="24" t="e">
        <f ca="1">+SUM(T164:T179)</f>
        <v>#REF!</v>
      </c>
      <c r="U163" s="24" t="e">
        <f ca="1">+SUM(U164:U179)</f>
        <v>#REF!</v>
      </c>
      <c r="V163" s="24" t="e">
        <f ca="1">+SUM(V164:V179)</f>
        <v>#REF!</v>
      </c>
    </row>
    <row r="164" spans="1:22" ht="12.4" customHeight="1" x14ac:dyDescent="0.25">
      <c r="A164" s="30">
        <v>4</v>
      </c>
      <c r="B164" s="30">
        <v>1</v>
      </c>
      <c r="C164" s="30">
        <v>1</v>
      </c>
      <c r="D164" s="135" t="s">
        <v>38</v>
      </c>
      <c r="E164" s="135"/>
      <c r="F164" s="54" t="s">
        <v>401</v>
      </c>
      <c r="G164" s="57" t="s">
        <v>17</v>
      </c>
      <c r="H164" s="57" t="s">
        <v>18</v>
      </c>
      <c r="I164" s="57" t="s">
        <v>40</v>
      </c>
      <c r="J164" s="60">
        <v>0</v>
      </c>
      <c r="K164" s="60">
        <v>1</v>
      </c>
      <c r="L164" s="60">
        <v>3</v>
      </c>
      <c r="M164" s="60">
        <v>5</v>
      </c>
      <c r="N164" s="60">
        <v>7</v>
      </c>
      <c r="O164" s="60">
        <v>8</v>
      </c>
      <c r="P164" s="60">
        <v>8</v>
      </c>
      <c r="Q164" s="61" t="e">
        <f>+R164/#REF!</f>
        <v>#REF!</v>
      </c>
      <c r="R164" s="53">
        <f t="shared" ref="R164:R179" si="21">+SUM(S164:V164)</f>
        <v>0</v>
      </c>
      <c r="S164" s="59">
        <v>0</v>
      </c>
      <c r="T164" s="59">
        <v>0</v>
      </c>
      <c r="U164" s="59">
        <v>0</v>
      </c>
      <c r="V164" s="59">
        <v>0</v>
      </c>
    </row>
    <row r="165" spans="1:22" ht="12.4" customHeight="1" x14ac:dyDescent="0.25">
      <c r="A165" s="30">
        <v>4</v>
      </c>
      <c r="B165" s="30">
        <v>1</v>
      </c>
      <c r="C165" s="30">
        <v>1</v>
      </c>
      <c r="D165" s="136" t="s">
        <v>28</v>
      </c>
      <c r="E165" s="136"/>
      <c r="F165" s="54" t="s">
        <v>402</v>
      </c>
      <c r="G165" s="57" t="s">
        <v>135</v>
      </c>
      <c r="H165" s="57" t="s">
        <v>22</v>
      </c>
      <c r="I165" s="156" t="s">
        <v>23</v>
      </c>
      <c r="J165" s="140">
        <v>0.5</v>
      </c>
      <c r="K165" s="140">
        <v>0.5</v>
      </c>
      <c r="L165" s="140">
        <v>0.5</v>
      </c>
      <c r="M165" s="140">
        <v>0.5</v>
      </c>
      <c r="N165" s="140">
        <v>0.5</v>
      </c>
      <c r="O165" s="140">
        <v>0.5</v>
      </c>
      <c r="P165" s="140">
        <v>0.5</v>
      </c>
      <c r="Q165" s="61" t="e">
        <f>+R165/#REF!</f>
        <v>#REF!</v>
      </c>
      <c r="R165" s="53">
        <f t="shared" si="21"/>
        <v>0</v>
      </c>
      <c r="S165" s="59">
        <v>0</v>
      </c>
      <c r="T165" s="59">
        <v>0</v>
      </c>
      <c r="U165" s="59">
        <v>0</v>
      </c>
      <c r="V165" s="59">
        <v>0</v>
      </c>
    </row>
    <row r="166" spans="1:22" s="173" customFormat="1" ht="12.4" customHeight="1" x14ac:dyDescent="0.25">
      <c r="A166" s="119">
        <v>4</v>
      </c>
      <c r="B166" s="119">
        <v>1</v>
      </c>
      <c r="C166" s="119">
        <v>2</v>
      </c>
      <c r="D166" s="120" t="s">
        <v>2</v>
      </c>
      <c r="E166" s="120"/>
      <c r="F166" s="121" t="s">
        <v>403</v>
      </c>
      <c r="G166" s="119"/>
      <c r="H166" s="119"/>
      <c r="I166" s="119"/>
      <c r="J166" s="119"/>
      <c r="K166" s="122"/>
      <c r="L166" s="122"/>
      <c r="M166" s="122"/>
      <c r="N166" s="122"/>
      <c r="O166" s="122"/>
      <c r="P166" s="122"/>
      <c r="Q166" s="123" t="e">
        <f>+R166/#REF!</f>
        <v>#REF!</v>
      </c>
      <c r="R166" s="124">
        <f t="shared" si="21"/>
        <v>12007779754</v>
      </c>
      <c r="S166" s="124">
        <v>3230581555</v>
      </c>
      <c r="T166" s="124">
        <v>2925732733</v>
      </c>
      <c r="U166" s="124">
        <v>2925732733</v>
      </c>
      <c r="V166" s="124">
        <v>2925732733</v>
      </c>
    </row>
    <row r="167" spans="1:22" s="21" customFormat="1" ht="12.4" customHeight="1" x14ac:dyDescent="0.25">
      <c r="A167" s="30">
        <v>4</v>
      </c>
      <c r="B167" s="30">
        <v>1</v>
      </c>
      <c r="C167" s="30">
        <v>2</v>
      </c>
      <c r="D167" s="50" t="s">
        <v>38</v>
      </c>
      <c r="E167" s="50"/>
      <c r="F167" s="54" t="s">
        <v>404</v>
      </c>
      <c r="G167" s="57" t="s">
        <v>61</v>
      </c>
      <c r="H167" s="57" t="s">
        <v>18</v>
      </c>
      <c r="I167" s="133"/>
      <c r="J167" s="133">
        <v>1571</v>
      </c>
      <c r="K167" s="133">
        <v>1674</v>
      </c>
      <c r="L167" s="133">
        <v>1842</v>
      </c>
      <c r="M167" s="133">
        <v>1985</v>
      </c>
      <c r="N167" s="133">
        <v>400</v>
      </c>
      <c r="O167" s="133">
        <v>7472</v>
      </c>
      <c r="P167" s="137"/>
      <c r="Q167" s="49" t="e">
        <f ca="1">+R167/#REF!</f>
        <v>#REF!</v>
      </c>
      <c r="R167" s="24" t="e">
        <f ca="1">+SUM(R168:R179)</f>
        <v>#REF!</v>
      </c>
      <c r="S167" s="24" t="e">
        <f ca="1">+SUM(S168:S179)</f>
        <v>#REF!</v>
      </c>
      <c r="T167" s="24" t="e">
        <f ca="1">+SUM(T168:T179)</f>
        <v>#REF!</v>
      </c>
      <c r="U167" s="24" t="e">
        <f ca="1">+SUM(U168:U179)</f>
        <v>#REF!</v>
      </c>
      <c r="V167" s="24" t="e">
        <f ca="1">+SUM(V168:V179)</f>
        <v>#REF!</v>
      </c>
    </row>
    <row r="168" spans="1:22" s="21" customFormat="1" ht="12.4" customHeight="1" x14ac:dyDescent="0.25">
      <c r="A168" s="30">
        <v>4</v>
      </c>
      <c r="B168" s="30">
        <v>1</v>
      </c>
      <c r="C168" s="30">
        <v>2</v>
      </c>
      <c r="D168" s="177" t="s">
        <v>15</v>
      </c>
      <c r="E168" s="177"/>
      <c r="F168" s="54" t="s">
        <v>405</v>
      </c>
      <c r="G168" s="57" t="s">
        <v>21</v>
      </c>
      <c r="H168" s="134" t="s">
        <v>22</v>
      </c>
      <c r="I168" s="134" t="s">
        <v>30</v>
      </c>
      <c r="J168" s="140">
        <v>0.65</v>
      </c>
      <c r="K168" s="140">
        <v>0.65</v>
      </c>
      <c r="L168" s="140">
        <v>0.65</v>
      </c>
      <c r="M168" s="140">
        <v>0.65</v>
      </c>
      <c r="N168" s="140">
        <v>0.65</v>
      </c>
      <c r="O168" s="140">
        <v>0.65</v>
      </c>
      <c r="P168" s="140">
        <v>0.65</v>
      </c>
      <c r="Q168" s="49" t="e">
        <f ca="1">+R168/#REF!</f>
        <v>#REF!</v>
      </c>
      <c r="R168" s="24" t="e">
        <f ca="1">+SUM(R169:R191)</f>
        <v>#REF!</v>
      </c>
      <c r="S168" s="24" t="e">
        <f ca="1">+SUM(S169:S191)</f>
        <v>#REF!</v>
      </c>
      <c r="T168" s="24" t="e">
        <f ca="1">+SUM(T169:T191)</f>
        <v>#REF!</v>
      </c>
      <c r="U168" s="24" t="e">
        <f ca="1">+SUM(U169:U191)</f>
        <v>#REF!</v>
      </c>
      <c r="V168" s="24" t="e">
        <f ca="1">+SUM(V169:V191)</f>
        <v>#REF!</v>
      </c>
    </row>
    <row r="169" spans="1:22" ht="12.4" customHeight="1" x14ac:dyDescent="0.25">
      <c r="A169" s="30">
        <v>4</v>
      </c>
      <c r="B169" s="30">
        <v>1</v>
      </c>
      <c r="C169" s="30">
        <v>2</v>
      </c>
      <c r="D169" s="50" t="s">
        <v>38</v>
      </c>
      <c r="E169" s="50"/>
      <c r="F169" s="54" t="s">
        <v>406</v>
      </c>
      <c r="G169" s="57" t="s">
        <v>61</v>
      </c>
      <c r="H169" s="57" t="s">
        <v>18</v>
      </c>
      <c r="I169" s="57" t="s">
        <v>19</v>
      </c>
      <c r="J169" s="139"/>
      <c r="K169" s="134">
        <v>9122</v>
      </c>
      <c r="L169" s="134">
        <v>10022</v>
      </c>
      <c r="M169" s="134">
        <v>10500</v>
      </c>
      <c r="N169" s="134">
        <v>11047</v>
      </c>
      <c r="O169" s="134">
        <v>2700</v>
      </c>
      <c r="P169" s="134">
        <v>52266</v>
      </c>
      <c r="Q169" s="61" t="e">
        <f>+R169/#REF!</f>
        <v>#REF!</v>
      </c>
      <c r="R169" s="53">
        <f t="shared" ref="R169:R170" si="22">+SUM(S169:V169)</f>
        <v>0</v>
      </c>
      <c r="S169" s="59">
        <v>0</v>
      </c>
      <c r="T169" s="59">
        <v>0</v>
      </c>
      <c r="U169" s="59">
        <v>0</v>
      </c>
      <c r="V169" s="59">
        <v>0</v>
      </c>
    </row>
    <row r="170" spans="1:22" ht="12.4" customHeight="1" x14ac:dyDescent="0.25">
      <c r="A170" s="30">
        <v>4</v>
      </c>
      <c r="B170" s="30">
        <v>1</v>
      </c>
      <c r="C170" s="30">
        <v>2</v>
      </c>
      <c r="D170" s="136" t="s">
        <v>28</v>
      </c>
      <c r="E170" s="136"/>
      <c r="F170" s="54" t="s">
        <v>407</v>
      </c>
      <c r="G170" s="57" t="s">
        <v>21</v>
      </c>
      <c r="H170" s="57" t="s">
        <v>18</v>
      </c>
      <c r="I170" s="133"/>
      <c r="J170" s="137"/>
      <c r="K170" s="137"/>
      <c r="L170" s="137"/>
      <c r="M170" s="137"/>
      <c r="N170" s="137"/>
      <c r="O170" s="137"/>
      <c r="P170" s="137"/>
      <c r="Q170" s="61" t="e">
        <f>+R170/#REF!</f>
        <v>#REF!</v>
      </c>
      <c r="R170" s="53">
        <f t="shared" si="22"/>
        <v>0</v>
      </c>
      <c r="S170" s="59">
        <v>0</v>
      </c>
      <c r="T170" s="59">
        <v>0</v>
      </c>
      <c r="U170" s="59">
        <v>0</v>
      </c>
      <c r="V170" s="59">
        <v>0</v>
      </c>
    </row>
    <row r="171" spans="1:22" ht="12.4" customHeight="1" x14ac:dyDescent="0.25">
      <c r="A171" s="30">
        <v>4</v>
      </c>
      <c r="B171" s="30">
        <v>1</v>
      </c>
      <c r="C171" s="30">
        <v>2</v>
      </c>
      <c r="D171" s="177" t="s">
        <v>15</v>
      </c>
      <c r="E171" s="177"/>
      <c r="F171" s="54" t="s">
        <v>408</v>
      </c>
      <c r="G171" s="57" t="s">
        <v>21</v>
      </c>
      <c r="H171" s="57" t="s">
        <v>22</v>
      </c>
      <c r="I171" s="134" t="s">
        <v>23</v>
      </c>
      <c r="J171" s="182">
        <v>0.1</v>
      </c>
      <c r="K171" s="182">
        <v>0.1</v>
      </c>
      <c r="L171" s="182">
        <v>0.1</v>
      </c>
      <c r="M171" s="182">
        <v>0.1</v>
      </c>
      <c r="N171" s="182">
        <v>0.1</v>
      </c>
      <c r="O171" s="182">
        <v>0.1</v>
      </c>
      <c r="P171" s="182">
        <v>0.1</v>
      </c>
      <c r="Q171" s="61" t="e">
        <f>+R171/#REF!</f>
        <v>#REF!</v>
      </c>
      <c r="R171" s="53">
        <f t="shared" ref="R171" si="23">+SUM(S171:V171)</f>
        <v>0</v>
      </c>
      <c r="S171" s="59">
        <v>0</v>
      </c>
      <c r="T171" s="59">
        <v>0</v>
      </c>
      <c r="U171" s="59">
        <v>0</v>
      </c>
      <c r="V171" s="59">
        <v>0</v>
      </c>
    </row>
    <row r="172" spans="1:22" ht="12.4" customHeight="1" x14ac:dyDescent="0.25">
      <c r="A172" s="119">
        <v>4</v>
      </c>
      <c r="B172" s="119">
        <v>1</v>
      </c>
      <c r="C172" s="119">
        <v>3</v>
      </c>
      <c r="D172" s="120" t="s">
        <v>2</v>
      </c>
      <c r="E172" s="120"/>
      <c r="F172" s="121" t="s">
        <v>409</v>
      </c>
      <c r="G172" s="119"/>
      <c r="H172" s="119"/>
      <c r="I172" s="119"/>
      <c r="J172" s="119"/>
      <c r="K172" s="122"/>
      <c r="L172" s="122"/>
      <c r="M172" s="122"/>
      <c r="N172" s="122"/>
      <c r="O172" s="122"/>
      <c r="P172" s="122"/>
      <c r="Q172" s="123" t="e">
        <f>+R172/#REF!</f>
        <v>#REF!</v>
      </c>
      <c r="R172" s="124">
        <f t="shared" si="21"/>
        <v>1159734605</v>
      </c>
      <c r="S172" s="124">
        <v>236734605</v>
      </c>
      <c r="T172" s="124">
        <v>280000000</v>
      </c>
      <c r="U172" s="124">
        <v>308000000</v>
      </c>
      <c r="V172" s="124">
        <v>335000000</v>
      </c>
    </row>
    <row r="173" spans="1:22" s="21" customFormat="1" ht="12.4" customHeight="1" x14ac:dyDescent="0.25">
      <c r="A173" s="30">
        <v>4</v>
      </c>
      <c r="B173" s="30">
        <v>1</v>
      </c>
      <c r="C173" s="30">
        <v>3</v>
      </c>
      <c r="D173" s="50" t="s">
        <v>38</v>
      </c>
      <c r="E173" s="50"/>
      <c r="F173" s="54" t="s">
        <v>410</v>
      </c>
      <c r="G173" s="57" t="s">
        <v>61</v>
      </c>
      <c r="H173" s="57" t="s">
        <v>18</v>
      </c>
      <c r="I173" s="57" t="s">
        <v>40</v>
      </c>
      <c r="J173" s="60">
        <v>0</v>
      </c>
      <c r="K173" s="60">
        <v>0</v>
      </c>
      <c r="L173" s="60">
        <v>1</v>
      </c>
      <c r="M173" s="60">
        <v>1</v>
      </c>
      <c r="N173" s="60">
        <v>2</v>
      </c>
      <c r="O173" s="60">
        <v>2</v>
      </c>
      <c r="P173" s="60">
        <v>2</v>
      </c>
      <c r="Q173" s="49" t="e">
        <f ca="1">+R173/#REF!</f>
        <v>#REF!</v>
      </c>
      <c r="R173" s="24" t="e">
        <f ca="1">+SUM(R174:R211)</f>
        <v>#REF!</v>
      </c>
      <c r="S173" s="24" t="e">
        <f ca="1">+SUM(S174:S211)</f>
        <v>#REF!</v>
      </c>
      <c r="T173" s="24" t="e">
        <f ca="1">+SUM(T174:T211)</f>
        <v>#REF!</v>
      </c>
      <c r="U173" s="24" t="e">
        <f ca="1">+SUM(U174:U211)</f>
        <v>#REF!</v>
      </c>
      <c r="V173" s="24" t="e">
        <f ca="1">+SUM(V174:V211)</f>
        <v>#REF!</v>
      </c>
    </row>
    <row r="174" spans="1:22" s="21" customFormat="1" ht="12.4" customHeight="1" x14ac:dyDescent="0.25">
      <c r="A174" s="30">
        <v>4</v>
      </c>
      <c r="B174" s="30">
        <v>1</v>
      </c>
      <c r="C174" s="30">
        <v>3</v>
      </c>
      <c r="D174" s="50" t="s">
        <v>38</v>
      </c>
      <c r="E174" s="50"/>
      <c r="F174" s="54" t="s">
        <v>411</v>
      </c>
      <c r="G174" s="57" t="s">
        <v>61</v>
      </c>
      <c r="H174" s="57" t="s">
        <v>18</v>
      </c>
      <c r="I174" s="57" t="s">
        <v>40</v>
      </c>
      <c r="J174" s="60">
        <v>30</v>
      </c>
      <c r="K174" s="60">
        <v>15</v>
      </c>
      <c r="L174" s="60">
        <f>15+20</f>
        <v>35</v>
      </c>
      <c r="M174" s="60">
        <f>35+20</f>
        <v>55</v>
      </c>
      <c r="N174" s="60">
        <f>55+30</f>
        <v>85</v>
      </c>
      <c r="O174" s="60">
        <f>85+15</f>
        <v>100</v>
      </c>
      <c r="P174" s="60">
        <v>100</v>
      </c>
      <c r="Q174" s="49" t="e">
        <f ca="1">+R174/#REF!</f>
        <v>#REF!</v>
      </c>
      <c r="R174" s="24" t="e">
        <f ca="1">+SUM(R175:R211)</f>
        <v>#REF!</v>
      </c>
      <c r="S174" s="24" t="e">
        <f ca="1">+SUM(S175:S211)</f>
        <v>#REF!</v>
      </c>
      <c r="T174" s="24" t="e">
        <f ca="1">+SUM(T175:T211)</f>
        <v>#REF!</v>
      </c>
      <c r="U174" s="24" t="e">
        <f ca="1">+SUM(U175:U211)</f>
        <v>#REF!</v>
      </c>
      <c r="V174" s="24" t="e">
        <f ca="1">+SUM(V175:V211)</f>
        <v>#REF!</v>
      </c>
    </row>
    <row r="175" spans="1:22" ht="12.4" customHeight="1" x14ac:dyDescent="0.25">
      <c r="A175" s="30">
        <v>4</v>
      </c>
      <c r="B175" s="30">
        <v>1</v>
      </c>
      <c r="C175" s="30">
        <v>3</v>
      </c>
      <c r="D175" s="50" t="s">
        <v>38</v>
      </c>
      <c r="E175" s="50"/>
      <c r="F175" s="54" t="s">
        <v>412</v>
      </c>
      <c r="G175" s="57" t="s">
        <v>61</v>
      </c>
      <c r="H175" s="57" t="s">
        <v>18</v>
      </c>
      <c r="I175" s="57" t="s">
        <v>40</v>
      </c>
      <c r="J175" s="60">
        <v>3</v>
      </c>
      <c r="K175" s="60">
        <v>2</v>
      </c>
      <c r="L175" s="60">
        <f>2+4</f>
        <v>6</v>
      </c>
      <c r="M175" s="60">
        <f>6+4</f>
        <v>10</v>
      </c>
      <c r="N175" s="60">
        <f>10+4</f>
        <v>14</v>
      </c>
      <c r="O175" s="60">
        <f>14+2</f>
        <v>16</v>
      </c>
      <c r="P175" s="60">
        <v>16</v>
      </c>
      <c r="Q175" s="61" t="e">
        <f>+R175/#REF!</f>
        <v>#REF!</v>
      </c>
      <c r="R175" s="53">
        <f t="shared" ref="R175" si="24">+SUM(S175:V175)</f>
        <v>0</v>
      </c>
      <c r="S175" s="59">
        <v>0</v>
      </c>
      <c r="T175" s="59">
        <v>0</v>
      </c>
      <c r="U175" s="59">
        <v>0</v>
      </c>
      <c r="V175" s="59">
        <v>0</v>
      </c>
    </row>
    <row r="176" spans="1:22" ht="12.4" customHeight="1" x14ac:dyDescent="0.25">
      <c r="A176" s="30">
        <v>4</v>
      </c>
      <c r="B176" s="30">
        <v>1</v>
      </c>
      <c r="C176" s="30">
        <v>3</v>
      </c>
      <c r="D176" s="136" t="s">
        <v>28</v>
      </c>
      <c r="E176" s="136"/>
      <c r="F176" s="54" t="s">
        <v>413</v>
      </c>
      <c r="G176" s="57" t="s">
        <v>21</v>
      </c>
      <c r="H176" s="57" t="s">
        <v>18</v>
      </c>
      <c r="I176" s="57" t="s">
        <v>23</v>
      </c>
      <c r="J176" s="60">
        <v>4.5</v>
      </c>
      <c r="K176" s="60">
        <v>4.5</v>
      </c>
      <c r="L176" s="60">
        <v>4.5</v>
      </c>
      <c r="M176" s="60">
        <v>4.5</v>
      </c>
      <c r="N176" s="60">
        <v>4.5</v>
      </c>
      <c r="O176" s="60">
        <v>4.5</v>
      </c>
      <c r="P176" s="60">
        <v>4.5</v>
      </c>
      <c r="Q176" s="61" t="e">
        <f>+R176/#REF!</f>
        <v>#REF!</v>
      </c>
      <c r="R176" s="53">
        <f t="shared" ref="R176:R177" si="25">+SUM(S176:V176)</f>
        <v>0</v>
      </c>
      <c r="S176" s="59">
        <v>0</v>
      </c>
      <c r="T176" s="59">
        <v>0</v>
      </c>
      <c r="U176" s="59">
        <v>0</v>
      </c>
      <c r="V176" s="59">
        <v>0</v>
      </c>
    </row>
    <row r="177" spans="1:22" ht="12.4" customHeight="1" x14ac:dyDescent="0.25">
      <c r="A177" s="30">
        <v>4</v>
      </c>
      <c r="B177" s="30">
        <v>1</v>
      </c>
      <c r="C177" s="30">
        <v>3</v>
      </c>
      <c r="D177" s="50" t="s">
        <v>38</v>
      </c>
      <c r="E177" s="50"/>
      <c r="F177" s="54" t="s">
        <v>414</v>
      </c>
      <c r="G177" s="57" t="s">
        <v>21</v>
      </c>
      <c r="H177" s="57" t="s">
        <v>18</v>
      </c>
      <c r="I177" s="133" t="s">
        <v>40</v>
      </c>
      <c r="J177" s="137">
        <v>1</v>
      </c>
      <c r="K177" s="137">
        <v>0</v>
      </c>
      <c r="L177" s="137">
        <v>1</v>
      </c>
      <c r="M177" s="137">
        <v>2</v>
      </c>
      <c r="N177" s="137">
        <v>3</v>
      </c>
      <c r="O177" s="137">
        <v>4</v>
      </c>
      <c r="P177" s="137">
        <v>4</v>
      </c>
      <c r="Q177" s="61" t="e">
        <f>+R177/#REF!</f>
        <v>#REF!</v>
      </c>
      <c r="R177" s="53">
        <f t="shared" si="25"/>
        <v>0</v>
      </c>
      <c r="S177" s="59">
        <v>0</v>
      </c>
      <c r="T177" s="59">
        <v>0</v>
      </c>
      <c r="U177" s="59">
        <v>0</v>
      </c>
      <c r="V177" s="59">
        <v>0</v>
      </c>
    </row>
    <row r="178" spans="1:22" s="21" customFormat="1" ht="12.4" customHeight="1" x14ac:dyDescent="0.25">
      <c r="A178" s="30">
        <v>4</v>
      </c>
      <c r="B178" s="30">
        <v>1</v>
      </c>
      <c r="C178" s="30">
        <v>3</v>
      </c>
      <c r="D178" s="136" t="s">
        <v>28</v>
      </c>
      <c r="E178" s="136"/>
      <c r="F178" s="54" t="s">
        <v>230</v>
      </c>
      <c r="G178" s="57" t="s">
        <v>17</v>
      </c>
      <c r="H178" s="57" t="s">
        <v>18</v>
      </c>
      <c r="I178" s="133" t="s">
        <v>19</v>
      </c>
      <c r="J178" s="137">
        <v>2</v>
      </c>
      <c r="K178" s="137">
        <v>2</v>
      </c>
      <c r="L178" s="137">
        <v>2</v>
      </c>
      <c r="M178" s="137">
        <v>2</v>
      </c>
      <c r="N178" s="137">
        <v>2</v>
      </c>
      <c r="O178" s="137">
        <v>2</v>
      </c>
      <c r="P178" s="137">
        <v>0</v>
      </c>
      <c r="Q178" s="49" t="e">
        <f ca="1">+R178/#REF!</f>
        <v>#REF!</v>
      </c>
      <c r="R178" s="24" t="e">
        <f ca="1">+SUM(R176:R211)</f>
        <v>#REF!</v>
      </c>
      <c r="S178" s="24" t="e">
        <f ca="1">+SUM(S176:S211)</f>
        <v>#REF!</v>
      </c>
      <c r="T178" s="24" t="e">
        <f ca="1">+SUM(T176:T211)</f>
        <v>#REF!</v>
      </c>
      <c r="U178" s="24" t="e">
        <f ca="1">+SUM(U176:U211)</f>
        <v>#REF!</v>
      </c>
      <c r="V178" s="24" t="e">
        <f ca="1">+SUM(V176:V211)</f>
        <v>#REF!</v>
      </c>
    </row>
    <row r="179" spans="1:22" s="173" customFormat="1" ht="12.4" customHeight="1" x14ac:dyDescent="0.25">
      <c r="A179" s="119">
        <v>4</v>
      </c>
      <c r="B179" s="119">
        <v>1</v>
      </c>
      <c r="C179" s="119">
        <v>4</v>
      </c>
      <c r="D179" s="120" t="s">
        <v>2</v>
      </c>
      <c r="E179" s="120"/>
      <c r="F179" s="121" t="s">
        <v>415</v>
      </c>
      <c r="G179" s="119"/>
      <c r="H179" s="119"/>
      <c r="I179" s="119"/>
      <c r="J179" s="119"/>
      <c r="K179" s="122"/>
      <c r="L179" s="122"/>
      <c r="M179" s="122"/>
      <c r="N179" s="122"/>
      <c r="O179" s="122"/>
      <c r="P179" s="122"/>
      <c r="Q179" s="123" t="e">
        <f>+R179/#REF!</f>
        <v>#REF!</v>
      </c>
      <c r="R179" s="124">
        <f t="shared" si="21"/>
        <v>16569561540</v>
      </c>
      <c r="S179" s="124">
        <v>6502781289</v>
      </c>
      <c r="T179" s="124">
        <v>3767310587</v>
      </c>
      <c r="U179" s="124">
        <v>3336616551</v>
      </c>
      <c r="V179" s="124">
        <v>2962853113</v>
      </c>
    </row>
    <row r="180" spans="1:22" s="21" customFormat="1" ht="12.4" customHeight="1" x14ac:dyDescent="0.25">
      <c r="A180" s="30">
        <v>4</v>
      </c>
      <c r="B180" s="30">
        <v>1</v>
      </c>
      <c r="C180" s="30">
        <v>4</v>
      </c>
      <c r="D180" s="50" t="s">
        <v>38</v>
      </c>
      <c r="E180" s="50"/>
      <c r="F180" s="54" t="s">
        <v>416</v>
      </c>
      <c r="G180" s="57" t="s">
        <v>135</v>
      </c>
      <c r="H180" s="57" t="s">
        <v>18</v>
      </c>
      <c r="I180" s="156" t="s">
        <v>19</v>
      </c>
      <c r="J180" s="181">
        <v>2800</v>
      </c>
      <c r="K180" s="181">
        <v>2800</v>
      </c>
      <c r="L180" s="181">
        <f>3000+K180</f>
        <v>5800</v>
      </c>
      <c r="M180" s="181">
        <f>3000+L180</f>
        <v>8800</v>
      </c>
      <c r="N180" s="181">
        <f>3000+M180</f>
        <v>11800</v>
      </c>
      <c r="O180" s="181">
        <f>500+N180</f>
        <v>12300</v>
      </c>
      <c r="P180" s="181">
        <f>4100+O180</f>
        <v>16400</v>
      </c>
      <c r="Q180" s="49" t="e">
        <f>+R180/#REF!</f>
        <v>#REF!</v>
      </c>
      <c r="R180" s="24" t="e">
        <f>+SUM(R181:R214)</f>
        <v>#REF!</v>
      </c>
      <c r="S180" s="24" t="e">
        <f>+SUM(S181:S214)</f>
        <v>#REF!</v>
      </c>
      <c r="T180" s="24" t="e">
        <f>+SUM(T181:T214)</f>
        <v>#REF!</v>
      </c>
      <c r="U180" s="24" t="e">
        <f>+SUM(U181:U214)</f>
        <v>#REF!</v>
      </c>
      <c r="V180" s="24" t="e">
        <f>+SUM(V181:V214)</f>
        <v>#REF!</v>
      </c>
    </row>
    <row r="181" spans="1:22" s="21" customFormat="1" ht="12.4" customHeight="1" x14ac:dyDescent="0.25">
      <c r="A181" s="30">
        <v>4</v>
      </c>
      <c r="B181" s="30">
        <v>1</v>
      </c>
      <c r="C181" s="30">
        <v>4</v>
      </c>
      <c r="D181" s="136" t="s">
        <v>28</v>
      </c>
      <c r="E181" s="136"/>
      <c r="F181" s="54" t="s">
        <v>417</v>
      </c>
      <c r="G181" s="57" t="s">
        <v>61</v>
      </c>
      <c r="H181" s="57" t="s">
        <v>18</v>
      </c>
      <c r="I181" s="57" t="s">
        <v>23</v>
      </c>
      <c r="J181" s="60">
        <v>1</v>
      </c>
      <c r="K181" s="60">
        <v>0</v>
      </c>
      <c r="L181" s="60">
        <v>1</v>
      </c>
      <c r="M181" s="60">
        <v>1</v>
      </c>
      <c r="N181" s="60">
        <v>1</v>
      </c>
      <c r="O181" s="60">
        <v>1</v>
      </c>
      <c r="P181" s="60">
        <v>4</v>
      </c>
      <c r="Q181" s="49" t="e">
        <f>+R181/#REF!</f>
        <v>#REF!</v>
      </c>
      <c r="R181" s="24" t="e">
        <f>+SUM(R182:R214)</f>
        <v>#REF!</v>
      </c>
      <c r="S181" s="24" t="e">
        <f>+SUM(S182:S214)</f>
        <v>#REF!</v>
      </c>
      <c r="T181" s="24" t="e">
        <f>+SUM(T182:T214)</f>
        <v>#REF!</v>
      </c>
      <c r="U181" s="24" t="e">
        <f>+SUM(U182:U214)</f>
        <v>#REF!</v>
      </c>
      <c r="V181" s="24" t="e">
        <f>+SUM(V182:V214)</f>
        <v>#REF!</v>
      </c>
    </row>
    <row r="182" spans="1:22" ht="12.4" customHeight="1" x14ac:dyDescent="0.25">
      <c r="A182" s="30">
        <v>4</v>
      </c>
      <c r="B182" s="30">
        <v>1</v>
      </c>
      <c r="C182" s="30">
        <v>4</v>
      </c>
      <c r="D182" s="177" t="s">
        <v>15</v>
      </c>
      <c r="E182" s="177"/>
      <c r="F182" s="54" t="s">
        <v>418</v>
      </c>
      <c r="G182" s="57" t="s">
        <v>135</v>
      </c>
      <c r="H182" s="57" t="s">
        <v>22</v>
      </c>
      <c r="I182" s="156" t="s">
        <v>23</v>
      </c>
      <c r="J182" s="140">
        <v>0.7</v>
      </c>
      <c r="K182" s="140">
        <v>0.7</v>
      </c>
      <c r="L182" s="140">
        <v>0.7</v>
      </c>
      <c r="M182" s="140">
        <v>0.7</v>
      </c>
      <c r="N182" s="140">
        <v>0.7</v>
      </c>
      <c r="O182" s="140">
        <v>0.7</v>
      </c>
      <c r="P182" s="140">
        <v>0.7</v>
      </c>
      <c r="Q182" s="61" t="e">
        <f>+R182/#REF!</f>
        <v>#REF!</v>
      </c>
      <c r="R182" s="53">
        <f t="shared" ref="R182:R183" si="26">+SUM(S182:V182)</f>
        <v>0</v>
      </c>
      <c r="S182" s="59">
        <v>0</v>
      </c>
      <c r="T182" s="59">
        <v>0</v>
      </c>
      <c r="U182" s="59">
        <v>0</v>
      </c>
      <c r="V182" s="59">
        <v>0</v>
      </c>
    </row>
    <row r="183" spans="1:22" ht="12.4" customHeight="1" x14ac:dyDescent="0.25">
      <c r="A183" s="30">
        <v>4</v>
      </c>
      <c r="B183" s="30">
        <v>1</v>
      </c>
      <c r="C183" s="30">
        <v>4</v>
      </c>
      <c r="D183" s="136" t="s">
        <v>28</v>
      </c>
      <c r="E183" s="136"/>
      <c r="F183" s="54" t="s">
        <v>419</v>
      </c>
      <c r="G183" s="57" t="s">
        <v>135</v>
      </c>
      <c r="H183" s="57" t="s">
        <v>18</v>
      </c>
      <c r="I183" s="156" t="s">
        <v>19</v>
      </c>
      <c r="J183" s="181">
        <v>1200</v>
      </c>
      <c r="K183" s="181">
        <v>1200</v>
      </c>
      <c r="L183" s="181">
        <f>900+K183</f>
        <v>2100</v>
      </c>
      <c r="M183" s="181">
        <f>1000+L183</f>
        <v>3100</v>
      </c>
      <c r="N183" s="181">
        <f>1500+M183</f>
        <v>4600</v>
      </c>
      <c r="O183" s="181">
        <f>500+N183</f>
        <v>5100</v>
      </c>
      <c r="P183" s="181">
        <f>O183</f>
        <v>5100</v>
      </c>
      <c r="Q183" s="61" t="e">
        <f>+R183/#REF!</f>
        <v>#REF!</v>
      </c>
      <c r="R183" s="53">
        <f t="shared" si="26"/>
        <v>0</v>
      </c>
      <c r="S183" s="59">
        <v>0</v>
      </c>
      <c r="T183" s="59">
        <v>0</v>
      </c>
      <c r="U183" s="59">
        <v>0</v>
      </c>
      <c r="V183" s="59">
        <v>0</v>
      </c>
    </row>
    <row r="184" spans="1:22" s="173" customFormat="1" ht="12.4" customHeight="1" x14ac:dyDescent="0.25">
      <c r="A184" s="119">
        <v>4</v>
      </c>
      <c r="B184" s="119">
        <v>1</v>
      </c>
      <c r="C184" s="119">
        <v>5</v>
      </c>
      <c r="D184" s="120" t="s">
        <v>2</v>
      </c>
      <c r="E184" s="120"/>
      <c r="F184" s="121" t="s">
        <v>420</v>
      </c>
      <c r="G184" s="119"/>
      <c r="H184" s="119"/>
      <c r="I184" s="119"/>
      <c r="J184" s="119"/>
      <c r="K184" s="122"/>
      <c r="L184" s="122"/>
      <c r="M184" s="122"/>
      <c r="N184" s="122"/>
      <c r="O184" s="122"/>
      <c r="P184" s="122"/>
      <c r="Q184" s="123" t="e">
        <f>+R184/#REF!</f>
        <v>#REF!</v>
      </c>
      <c r="R184" s="124" t="e">
        <f>+SUM(R191:R210)</f>
        <v>#REF!</v>
      </c>
      <c r="S184" s="124" t="e">
        <f>+SUM(S191:S210)</f>
        <v>#REF!</v>
      </c>
      <c r="T184" s="124" t="e">
        <f>+SUM(T191:T210)</f>
        <v>#REF!</v>
      </c>
      <c r="U184" s="124" t="e">
        <f>+SUM(U191:U210)</f>
        <v>#REF!</v>
      </c>
      <c r="V184" s="124" t="e">
        <f>+SUM(V191:V210)</f>
        <v>#REF!</v>
      </c>
    </row>
    <row r="185" spans="1:22" s="21" customFormat="1" ht="12.4" customHeight="1" x14ac:dyDescent="0.25">
      <c r="A185" s="30">
        <v>4</v>
      </c>
      <c r="B185" s="30">
        <v>1</v>
      </c>
      <c r="C185" s="30">
        <v>5</v>
      </c>
      <c r="D185" s="177" t="s">
        <v>15</v>
      </c>
      <c r="E185" s="177"/>
      <c r="F185" s="54" t="s">
        <v>421</v>
      </c>
      <c r="G185" s="57" t="s">
        <v>21</v>
      </c>
      <c r="H185" s="57" t="s">
        <v>22</v>
      </c>
      <c r="I185" s="156" t="s">
        <v>23</v>
      </c>
      <c r="J185" s="140">
        <v>0.65</v>
      </c>
      <c r="K185" s="140">
        <v>0.65</v>
      </c>
      <c r="L185" s="140">
        <v>0.65</v>
      </c>
      <c r="M185" s="140">
        <v>0.65</v>
      </c>
      <c r="N185" s="140">
        <v>0.65</v>
      </c>
      <c r="O185" s="140">
        <v>0.65</v>
      </c>
      <c r="P185" s="140">
        <v>0.65</v>
      </c>
      <c r="Q185" s="178" t="e">
        <f>+R185/#REF!</f>
        <v>#REF!</v>
      </c>
      <c r="R185" s="24" t="e">
        <f>+SUM(R186:R223)</f>
        <v>#REF!</v>
      </c>
      <c r="S185" s="24" t="e">
        <f>+SUM(S186:S223)</f>
        <v>#REF!</v>
      </c>
      <c r="T185" s="24" t="e">
        <f>+SUM(T186:T223)</f>
        <v>#REF!</v>
      </c>
      <c r="U185" s="24" t="e">
        <f>+SUM(U186:U223)</f>
        <v>#REF!</v>
      </c>
      <c r="V185" s="24" t="e">
        <f>+SUM(V186:V223)</f>
        <v>#REF!</v>
      </c>
    </row>
    <row r="186" spans="1:22" s="21" customFormat="1" ht="12.4" customHeight="1" x14ac:dyDescent="0.25">
      <c r="A186" s="30">
        <v>4</v>
      </c>
      <c r="B186" s="30">
        <v>1</v>
      </c>
      <c r="C186" s="30">
        <v>5</v>
      </c>
      <c r="D186" s="177" t="s">
        <v>15</v>
      </c>
      <c r="E186" s="177"/>
      <c r="F186" s="54" t="s">
        <v>422</v>
      </c>
      <c r="G186" s="57" t="s">
        <v>21</v>
      </c>
      <c r="H186" s="57" t="s">
        <v>22</v>
      </c>
      <c r="I186" s="156" t="s">
        <v>23</v>
      </c>
      <c r="J186" s="140">
        <v>0.7</v>
      </c>
      <c r="K186" s="140">
        <v>0.7</v>
      </c>
      <c r="L186" s="140">
        <v>0.7</v>
      </c>
      <c r="M186" s="140">
        <v>0.7</v>
      </c>
      <c r="N186" s="140">
        <v>0.7</v>
      </c>
      <c r="O186" s="140">
        <v>0.7</v>
      </c>
      <c r="P186" s="140">
        <v>0.7</v>
      </c>
      <c r="Q186" s="178" t="e">
        <f>+R186/#REF!</f>
        <v>#REF!</v>
      </c>
      <c r="R186" s="24" t="e">
        <f>+SUM(R187:R223)</f>
        <v>#REF!</v>
      </c>
      <c r="S186" s="24" t="e">
        <f>+SUM(S187:S223)</f>
        <v>#REF!</v>
      </c>
      <c r="T186" s="24" t="e">
        <f>+SUM(T187:T223)</f>
        <v>#REF!</v>
      </c>
      <c r="U186" s="24" t="e">
        <f>+SUM(U187:U223)</f>
        <v>#REF!</v>
      </c>
      <c r="V186" s="24" t="e">
        <f>+SUM(V187:V223)</f>
        <v>#REF!</v>
      </c>
    </row>
    <row r="187" spans="1:22" ht="12.4" customHeight="1" x14ac:dyDescent="0.25">
      <c r="A187" s="30">
        <v>4</v>
      </c>
      <c r="B187" s="30">
        <v>1</v>
      </c>
      <c r="C187" s="30">
        <v>5</v>
      </c>
      <c r="D187" s="50" t="s">
        <v>38</v>
      </c>
      <c r="E187" s="50"/>
      <c r="F187" s="54" t="s">
        <v>423</v>
      </c>
      <c r="G187" s="57" t="s">
        <v>21</v>
      </c>
      <c r="H187" s="57" t="s">
        <v>18</v>
      </c>
      <c r="I187" s="156" t="s">
        <v>19</v>
      </c>
      <c r="J187" s="60">
        <v>1800</v>
      </c>
      <c r="K187" s="60">
        <v>1800</v>
      </c>
      <c r="L187" s="60">
        <f>K187+1800</f>
        <v>3600</v>
      </c>
      <c r="M187" s="60">
        <f>L187+1800</f>
        <v>5400</v>
      </c>
      <c r="N187" s="60">
        <f>M187+1800</f>
        <v>7200</v>
      </c>
      <c r="O187" s="60">
        <f>N187+700</f>
        <v>7900</v>
      </c>
      <c r="P187" s="60">
        <v>7900</v>
      </c>
      <c r="Q187" s="58" t="e">
        <f>+R187/#REF!</f>
        <v>#REF!</v>
      </c>
      <c r="R187" s="53">
        <f t="shared" ref="R187:R190" si="27">+SUM(S187:V187)</f>
        <v>0</v>
      </c>
      <c r="S187" s="59">
        <v>0</v>
      </c>
      <c r="T187" s="59">
        <v>0</v>
      </c>
      <c r="U187" s="59">
        <v>0</v>
      </c>
      <c r="V187" s="59">
        <v>0</v>
      </c>
    </row>
    <row r="188" spans="1:22" ht="12.4" customHeight="1" x14ac:dyDescent="0.25">
      <c r="A188" s="30">
        <v>4</v>
      </c>
      <c r="B188" s="30">
        <v>1</v>
      </c>
      <c r="C188" s="30">
        <v>5</v>
      </c>
      <c r="D188" s="136" t="s">
        <v>28</v>
      </c>
      <c r="E188" s="136"/>
      <c r="F188" s="54" t="s">
        <v>424</v>
      </c>
      <c r="G188" s="57" t="s">
        <v>21</v>
      </c>
      <c r="H188" s="57" t="s">
        <v>18</v>
      </c>
      <c r="I188" s="156" t="s">
        <v>19</v>
      </c>
      <c r="J188" s="60">
        <v>700</v>
      </c>
      <c r="K188" s="60">
        <v>700</v>
      </c>
      <c r="L188" s="60">
        <f>K188+700</f>
        <v>1400</v>
      </c>
      <c r="M188" s="60">
        <f>L188+700</f>
        <v>2100</v>
      </c>
      <c r="N188" s="60">
        <f>M188+700</f>
        <v>2800</v>
      </c>
      <c r="O188" s="60">
        <f>N188+700</f>
        <v>3500</v>
      </c>
      <c r="P188" s="60">
        <v>3500</v>
      </c>
      <c r="Q188" s="58" t="e">
        <f>+R188/#REF!</f>
        <v>#REF!</v>
      </c>
      <c r="R188" s="53">
        <f t="shared" si="27"/>
        <v>0</v>
      </c>
      <c r="S188" s="59">
        <v>0</v>
      </c>
      <c r="T188" s="59">
        <v>0</v>
      </c>
      <c r="U188" s="59">
        <v>0</v>
      </c>
      <c r="V188" s="59">
        <v>0</v>
      </c>
    </row>
    <row r="189" spans="1:22" ht="12.4" customHeight="1" x14ac:dyDescent="0.25">
      <c r="A189" s="30">
        <v>4</v>
      </c>
      <c r="B189" s="30">
        <v>1</v>
      </c>
      <c r="C189" s="30">
        <v>5</v>
      </c>
      <c r="D189" s="50" t="s">
        <v>38</v>
      </c>
      <c r="E189" s="50"/>
      <c r="F189" s="54" t="s">
        <v>425</v>
      </c>
      <c r="G189" s="57" t="s">
        <v>21</v>
      </c>
      <c r="H189" s="57" t="s">
        <v>18</v>
      </c>
      <c r="I189" s="156" t="s">
        <v>19</v>
      </c>
      <c r="J189" s="60">
        <v>57800</v>
      </c>
      <c r="K189" s="60">
        <v>57800</v>
      </c>
      <c r="L189" s="60">
        <f>K189+57800</f>
        <v>115600</v>
      </c>
      <c r="M189" s="60">
        <f>L189+57800</f>
        <v>173400</v>
      </c>
      <c r="N189" s="60">
        <f>M189+57800</f>
        <v>231200</v>
      </c>
      <c r="O189" s="60">
        <v>239200</v>
      </c>
      <c r="P189" s="60">
        <v>239200</v>
      </c>
      <c r="Q189" s="58" t="e">
        <f>+R189/#REF!</f>
        <v>#REF!</v>
      </c>
      <c r="R189" s="53">
        <f t="shared" si="27"/>
        <v>0</v>
      </c>
      <c r="S189" s="59">
        <v>0</v>
      </c>
      <c r="T189" s="59">
        <v>0</v>
      </c>
      <c r="U189" s="59">
        <v>0</v>
      </c>
      <c r="V189" s="59">
        <v>0</v>
      </c>
    </row>
    <row r="190" spans="1:22" ht="12.4" customHeight="1" x14ac:dyDescent="0.25">
      <c r="A190" s="30">
        <v>4</v>
      </c>
      <c r="B190" s="30">
        <v>1</v>
      </c>
      <c r="C190" s="30">
        <v>5</v>
      </c>
      <c r="D190" s="136" t="s">
        <v>28</v>
      </c>
      <c r="E190" s="136"/>
      <c r="F190" s="54" t="s">
        <v>426</v>
      </c>
      <c r="G190" s="57" t="s">
        <v>21</v>
      </c>
      <c r="H190" s="57" t="s">
        <v>18</v>
      </c>
      <c r="I190" s="156" t="s">
        <v>19</v>
      </c>
      <c r="J190" s="60">
        <v>3300</v>
      </c>
      <c r="K190" s="60">
        <v>3300</v>
      </c>
      <c r="L190" s="60">
        <f>K190+3000</f>
        <v>6300</v>
      </c>
      <c r="M190" s="60">
        <f>L190+3000</f>
        <v>9300</v>
      </c>
      <c r="N190" s="60">
        <f>M190+3000</f>
        <v>12300</v>
      </c>
      <c r="O190" s="60">
        <f>N190+700</f>
        <v>13000</v>
      </c>
      <c r="P190" s="60">
        <v>13000</v>
      </c>
      <c r="Q190" s="58" t="e">
        <f>+R190/#REF!</f>
        <v>#REF!</v>
      </c>
      <c r="R190" s="53">
        <f t="shared" si="27"/>
        <v>0</v>
      </c>
      <c r="S190" s="59">
        <v>0</v>
      </c>
      <c r="T190" s="59">
        <v>0</v>
      </c>
      <c r="U190" s="59">
        <v>0</v>
      </c>
      <c r="V190" s="59">
        <v>0</v>
      </c>
    </row>
    <row r="191" spans="1:22" s="173" customFormat="1" ht="12.4" customHeight="1" x14ac:dyDescent="0.25">
      <c r="A191" s="119">
        <v>4</v>
      </c>
      <c r="B191" s="119">
        <v>1</v>
      </c>
      <c r="C191" s="119">
        <v>6</v>
      </c>
      <c r="D191" s="120" t="s">
        <v>2</v>
      </c>
      <c r="E191" s="120"/>
      <c r="F191" s="121" t="s">
        <v>427</v>
      </c>
      <c r="G191" s="119"/>
      <c r="H191" s="119"/>
      <c r="I191" s="119"/>
      <c r="J191" s="119"/>
      <c r="K191" s="122"/>
      <c r="L191" s="122"/>
      <c r="M191" s="122"/>
      <c r="N191" s="122"/>
      <c r="O191" s="122"/>
      <c r="P191" s="122"/>
      <c r="Q191" s="123" t="e">
        <f>+R191/#REF!</f>
        <v>#REF!</v>
      </c>
      <c r="R191" s="124" t="e">
        <f>+SUM(R197:R211)</f>
        <v>#REF!</v>
      </c>
      <c r="S191" s="124" t="e">
        <f>+SUM(S197:S211)</f>
        <v>#REF!</v>
      </c>
      <c r="T191" s="124" t="e">
        <f>+SUM(T197:T211)</f>
        <v>#REF!</v>
      </c>
      <c r="U191" s="124" t="e">
        <f>+SUM(U197:U211)</f>
        <v>#REF!</v>
      </c>
      <c r="V191" s="124" t="e">
        <f>+SUM(V197:V211)</f>
        <v>#REF!</v>
      </c>
    </row>
    <row r="192" spans="1:22" s="21" customFormat="1" ht="12.4" customHeight="1" x14ac:dyDescent="0.25">
      <c r="A192" s="30"/>
      <c r="B192" s="30"/>
      <c r="C192" s="30"/>
      <c r="D192" s="50"/>
      <c r="E192" s="50"/>
      <c r="F192" s="54" t="s">
        <v>428</v>
      </c>
      <c r="G192" s="57" t="s">
        <v>17</v>
      </c>
      <c r="H192" s="57" t="s">
        <v>18</v>
      </c>
      <c r="I192" s="57"/>
      <c r="J192" s="137">
        <v>2</v>
      </c>
      <c r="K192" s="137">
        <v>2</v>
      </c>
      <c r="L192" s="137">
        <v>4</v>
      </c>
      <c r="M192" s="137">
        <v>4</v>
      </c>
      <c r="N192" s="137">
        <v>4</v>
      </c>
      <c r="O192" s="137">
        <v>2</v>
      </c>
      <c r="P192" s="137">
        <v>16</v>
      </c>
      <c r="Q192" s="178"/>
      <c r="R192" s="24"/>
      <c r="S192" s="24"/>
      <c r="T192" s="24"/>
      <c r="U192" s="24"/>
      <c r="V192" s="24"/>
    </row>
    <row r="193" spans="1:40" s="21" customFormat="1" ht="12.4" customHeight="1" x14ac:dyDescent="0.25">
      <c r="A193" s="30"/>
      <c r="B193" s="30"/>
      <c r="C193" s="30"/>
      <c r="D193" s="50"/>
      <c r="E193" s="50"/>
      <c r="F193" s="54" t="s">
        <v>429</v>
      </c>
      <c r="G193" s="57" t="s">
        <v>17</v>
      </c>
      <c r="H193" s="57" t="s">
        <v>18</v>
      </c>
      <c r="I193" s="57"/>
      <c r="J193" s="137">
        <v>1</v>
      </c>
      <c r="K193" s="137">
        <v>1</v>
      </c>
      <c r="L193" s="137">
        <v>1</v>
      </c>
      <c r="M193" s="137">
        <v>1</v>
      </c>
      <c r="N193" s="137">
        <v>1</v>
      </c>
      <c r="O193" s="137">
        <v>1</v>
      </c>
      <c r="P193" s="137">
        <v>5</v>
      </c>
      <c r="Q193" s="178"/>
      <c r="R193" s="24"/>
      <c r="S193" s="24"/>
      <c r="T193" s="24"/>
      <c r="U193" s="24"/>
      <c r="V193" s="24"/>
    </row>
    <row r="194" spans="1:40" ht="12.4" customHeight="1" x14ac:dyDescent="0.25">
      <c r="A194" s="30"/>
      <c r="B194" s="30"/>
      <c r="C194" s="30"/>
      <c r="D194" s="50"/>
      <c r="E194" s="50"/>
      <c r="F194" s="54" t="s">
        <v>430</v>
      </c>
      <c r="G194" s="57" t="s">
        <v>17</v>
      </c>
      <c r="H194" s="57" t="s">
        <v>22</v>
      </c>
      <c r="I194" s="57"/>
      <c r="J194" s="141">
        <v>0.05</v>
      </c>
      <c r="K194" s="141">
        <v>0.05</v>
      </c>
      <c r="L194" s="141">
        <v>0.08</v>
      </c>
      <c r="M194" s="141">
        <v>0.09</v>
      </c>
      <c r="N194" s="141">
        <v>0.1</v>
      </c>
      <c r="O194" s="141">
        <v>0.1</v>
      </c>
      <c r="P194" s="141">
        <v>0.42</v>
      </c>
      <c r="Q194" s="58"/>
      <c r="R194" s="53"/>
      <c r="S194" s="59"/>
      <c r="T194" s="59"/>
      <c r="U194" s="59"/>
      <c r="V194" s="59"/>
    </row>
    <row r="195" spans="1:40" ht="12.4" customHeight="1" x14ac:dyDescent="0.25">
      <c r="A195" s="30"/>
      <c r="B195" s="30"/>
      <c r="C195" s="30"/>
      <c r="D195" s="136" t="s">
        <v>28</v>
      </c>
      <c r="E195" s="136"/>
      <c r="F195" s="54" t="s">
        <v>431</v>
      </c>
      <c r="G195" s="57" t="s">
        <v>17</v>
      </c>
      <c r="H195" s="57" t="s">
        <v>22</v>
      </c>
      <c r="I195" s="57"/>
      <c r="J195" s="141">
        <v>0.78</v>
      </c>
      <c r="K195" s="141">
        <v>0.78</v>
      </c>
      <c r="L195" s="141">
        <v>0.78</v>
      </c>
      <c r="M195" s="141">
        <v>0.78</v>
      </c>
      <c r="N195" s="141">
        <v>0.78</v>
      </c>
      <c r="O195" s="141">
        <v>0.78</v>
      </c>
      <c r="P195" s="133"/>
      <c r="Q195" s="58"/>
      <c r="R195" s="53"/>
      <c r="S195" s="59"/>
      <c r="T195" s="59"/>
      <c r="U195" s="59"/>
      <c r="V195" s="59"/>
    </row>
    <row r="196" spans="1:40" ht="12.4" customHeight="1" x14ac:dyDescent="0.25">
      <c r="A196" s="30"/>
      <c r="B196" s="30"/>
      <c r="C196" s="30"/>
      <c r="D196" s="50"/>
      <c r="E196" s="50"/>
      <c r="F196" s="54" t="s">
        <v>432</v>
      </c>
      <c r="G196" s="57"/>
      <c r="H196" s="57"/>
      <c r="I196" s="57"/>
      <c r="J196" s="141"/>
      <c r="K196" s="141"/>
      <c r="L196" s="141"/>
      <c r="M196" s="141"/>
      <c r="N196" s="141"/>
      <c r="O196" s="141"/>
      <c r="P196" s="133"/>
      <c r="Q196" s="58"/>
      <c r="R196" s="53"/>
      <c r="S196" s="59"/>
      <c r="T196" s="59"/>
      <c r="U196" s="59"/>
      <c r="V196" s="59"/>
    </row>
    <row r="197" spans="1:40" ht="12.4" customHeight="1" x14ac:dyDescent="0.25">
      <c r="A197" s="119">
        <v>4</v>
      </c>
      <c r="B197" s="119">
        <v>1</v>
      </c>
      <c r="C197" s="119">
        <v>7</v>
      </c>
      <c r="D197" s="120" t="s">
        <v>2</v>
      </c>
      <c r="E197" s="120"/>
      <c r="F197" s="121" t="s">
        <v>433</v>
      </c>
      <c r="G197" s="119"/>
      <c r="H197" s="119"/>
      <c r="I197" s="119"/>
      <c r="J197" s="119"/>
      <c r="K197" s="122"/>
      <c r="L197" s="122"/>
      <c r="M197" s="122"/>
      <c r="N197" s="122"/>
      <c r="O197" s="122"/>
      <c r="P197" s="122"/>
      <c r="Q197" s="123" t="e">
        <f>+R197/#REF!</f>
        <v>#REF!</v>
      </c>
      <c r="R197" s="124">
        <f t="shared" ref="R197:R202" si="28">+SUM(S197:V197)</f>
        <v>1000000000</v>
      </c>
      <c r="S197" s="124">
        <v>0</v>
      </c>
      <c r="T197" s="124">
        <v>0</v>
      </c>
      <c r="U197" s="124">
        <v>0</v>
      </c>
      <c r="V197" s="124">
        <v>1000000000</v>
      </c>
    </row>
    <row r="198" spans="1:40" s="21" customFormat="1" ht="12.4" customHeight="1" x14ac:dyDescent="0.25">
      <c r="A198" s="30">
        <v>4</v>
      </c>
      <c r="B198" s="30">
        <v>1</v>
      </c>
      <c r="C198" s="30">
        <v>7</v>
      </c>
      <c r="D198" s="177" t="s">
        <v>15</v>
      </c>
      <c r="E198" s="177"/>
      <c r="F198" s="54" t="s">
        <v>434</v>
      </c>
      <c r="G198" s="57" t="s">
        <v>21</v>
      </c>
      <c r="H198" s="57" t="s">
        <v>18</v>
      </c>
      <c r="I198" s="57" t="s">
        <v>23</v>
      </c>
      <c r="J198" s="60">
        <v>4.5</v>
      </c>
      <c r="K198" s="60">
        <v>4.5</v>
      </c>
      <c r="L198" s="60">
        <v>4.5</v>
      </c>
      <c r="M198" s="60">
        <v>4.5</v>
      </c>
      <c r="N198" s="60">
        <v>4.5</v>
      </c>
      <c r="O198" s="60">
        <v>4.5</v>
      </c>
      <c r="P198" s="60">
        <v>4.5</v>
      </c>
      <c r="Q198" s="49" t="e">
        <f>+R198/#REF!</f>
        <v>#REF!</v>
      </c>
      <c r="R198" s="24" t="e">
        <f>+SUM(R200:R211)</f>
        <v>#REF!</v>
      </c>
      <c r="S198" s="24" t="e">
        <f>+SUM(S200:S211)</f>
        <v>#REF!</v>
      </c>
      <c r="T198" s="24" t="e">
        <f>+SUM(T200:T211)</f>
        <v>#REF!</v>
      </c>
      <c r="U198" s="24" t="e">
        <f>+SUM(U200:U211)</f>
        <v>#REF!</v>
      </c>
      <c r="V198" s="24" t="e">
        <f>+SUM(V200:V211)</f>
        <v>#REF!</v>
      </c>
    </row>
    <row r="199" spans="1:40" s="21" customFormat="1" ht="12.4" customHeight="1" x14ac:dyDescent="0.25">
      <c r="A199" s="30">
        <v>4</v>
      </c>
      <c r="B199" s="30">
        <v>1</v>
      </c>
      <c r="C199" s="30">
        <v>7</v>
      </c>
      <c r="D199" s="136" t="s">
        <v>28</v>
      </c>
      <c r="E199" s="136"/>
      <c r="F199" s="54" t="s">
        <v>435</v>
      </c>
      <c r="G199" s="57" t="s">
        <v>21</v>
      </c>
      <c r="H199" s="57" t="s">
        <v>22</v>
      </c>
      <c r="I199" s="57" t="s">
        <v>23</v>
      </c>
      <c r="J199" s="140">
        <v>0.95</v>
      </c>
      <c r="K199" s="140">
        <v>0.95</v>
      </c>
      <c r="L199" s="140">
        <v>0.95</v>
      </c>
      <c r="M199" s="140">
        <v>0.95</v>
      </c>
      <c r="N199" s="140">
        <v>0.95</v>
      </c>
      <c r="O199" s="140">
        <v>0.2</v>
      </c>
      <c r="P199" s="140">
        <v>0.95</v>
      </c>
      <c r="Q199" s="49" t="e">
        <f>+R199/#REF!</f>
        <v>#REF!</v>
      </c>
      <c r="R199" s="24" t="e">
        <f>+SUM(R201:R211)</f>
        <v>#REF!</v>
      </c>
      <c r="S199" s="24" t="e">
        <f>+SUM(S201:S211)</f>
        <v>#REF!</v>
      </c>
      <c r="T199" s="24" t="e">
        <f>+SUM(T201:T211)</f>
        <v>#REF!</v>
      </c>
      <c r="U199" s="24" t="e">
        <f>+SUM(U201:U211)</f>
        <v>#REF!</v>
      </c>
      <c r="V199" s="24" t="e">
        <f>+SUM(V201:V211)</f>
        <v>#REF!</v>
      </c>
    </row>
    <row r="200" spans="1:40" s="21" customFormat="1" ht="12.4" customHeight="1" x14ac:dyDescent="0.25">
      <c r="A200" s="30">
        <v>4</v>
      </c>
      <c r="B200" s="30">
        <v>1</v>
      </c>
      <c r="C200" s="30">
        <v>7</v>
      </c>
      <c r="D200" s="158" t="s">
        <v>38</v>
      </c>
      <c r="E200" s="158"/>
      <c r="F200" s="54" t="s">
        <v>305</v>
      </c>
      <c r="G200" s="57" t="s">
        <v>21</v>
      </c>
      <c r="H200" s="57" t="s">
        <v>22</v>
      </c>
      <c r="I200" s="57" t="s">
        <v>19</v>
      </c>
      <c r="J200" s="140">
        <v>0.1</v>
      </c>
      <c r="K200" s="140">
        <v>0.1</v>
      </c>
      <c r="L200" s="140">
        <v>0.12</v>
      </c>
      <c r="M200" s="140">
        <v>0.15</v>
      </c>
      <c r="N200" s="140">
        <v>0.18</v>
      </c>
      <c r="O200" s="140">
        <v>0.2</v>
      </c>
      <c r="P200" s="140">
        <v>0.2</v>
      </c>
      <c r="Q200" s="49" t="e">
        <f>+R200/#REF!</f>
        <v>#REF!</v>
      </c>
      <c r="R200" s="24" t="e">
        <f>+SUM(R201:R211)</f>
        <v>#REF!</v>
      </c>
      <c r="S200" s="24" t="e">
        <f>+SUM(S201:S211)</f>
        <v>#REF!</v>
      </c>
      <c r="T200" s="24" t="e">
        <f>+SUM(T201:T211)</f>
        <v>#REF!</v>
      </c>
      <c r="U200" s="24" t="e">
        <f>+SUM(U201:U211)</f>
        <v>#REF!</v>
      </c>
      <c r="V200" s="24" t="e">
        <f>+SUM(V201:V211)</f>
        <v>#REF!</v>
      </c>
    </row>
    <row r="201" spans="1:40" ht="12.4" customHeight="1" x14ac:dyDescent="0.25">
      <c r="A201" s="30">
        <v>4</v>
      </c>
      <c r="B201" s="30">
        <v>1</v>
      </c>
      <c r="C201" s="30">
        <v>7</v>
      </c>
      <c r="D201" s="136" t="s">
        <v>28</v>
      </c>
      <c r="E201" s="136"/>
      <c r="F201" s="54" t="s">
        <v>211</v>
      </c>
      <c r="G201" s="57" t="s">
        <v>21</v>
      </c>
      <c r="H201" s="57" t="s">
        <v>18</v>
      </c>
      <c r="I201" s="57" t="s">
        <v>30</v>
      </c>
      <c r="J201" s="60">
        <v>4</v>
      </c>
      <c r="K201" s="60">
        <v>4</v>
      </c>
      <c r="L201" s="60">
        <v>4.2</v>
      </c>
      <c r="M201" s="60">
        <v>4.3</v>
      </c>
      <c r="N201" s="60">
        <v>4.4000000000000004</v>
      </c>
      <c r="O201" s="60">
        <v>4.5</v>
      </c>
      <c r="P201" s="60">
        <v>4.5</v>
      </c>
      <c r="Q201" s="61" t="e">
        <f>+R201/#REF!</f>
        <v>#REF!</v>
      </c>
      <c r="R201" s="53">
        <f t="shared" ref="R201" si="29">+SUM(S201:V201)</f>
        <v>0</v>
      </c>
      <c r="S201" s="59">
        <v>0</v>
      </c>
      <c r="T201" s="59">
        <v>0</v>
      </c>
      <c r="U201" s="59">
        <v>0</v>
      </c>
      <c r="V201" s="59">
        <v>0</v>
      </c>
    </row>
    <row r="202" spans="1:40" ht="12.4" customHeight="1" x14ac:dyDescent="0.25">
      <c r="A202" s="119">
        <v>4</v>
      </c>
      <c r="B202" s="119">
        <v>1</v>
      </c>
      <c r="C202" s="119">
        <v>8</v>
      </c>
      <c r="D202" s="120" t="s">
        <v>2</v>
      </c>
      <c r="E202" s="120"/>
      <c r="F202" s="121" t="s">
        <v>436</v>
      </c>
      <c r="G202" s="119"/>
      <c r="H202" s="119"/>
      <c r="I202" s="119"/>
      <c r="J202" s="119"/>
      <c r="K202" s="122"/>
      <c r="L202" s="122"/>
      <c r="M202" s="122"/>
      <c r="N202" s="122"/>
      <c r="O202" s="122"/>
      <c r="P202" s="122"/>
      <c r="Q202" s="123" t="e">
        <f>+R202/#REF!</f>
        <v>#REF!</v>
      </c>
      <c r="R202" s="124">
        <f t="shared" si="28"/>
        <v>4818346015</v>
      </c>
      <c r="S202" s="124">
        <v>0</v>
      </c>
      <c r="T202" s="124">
        <v>1731723912</v>
      </c>
      <c r="U202" s="124">
        <v>1951379647</v>
      </c>
      <c r="V202" s="124">
        <v>1135242456</v>
      </c>
    </row>
    <row r="203" spans="1:40" s="21" customFormat="1" ht="12.4" customHeight="1" x14ac:dyDescent="0.25">
      <c r="A203" s="30">
        <v>4</v>
      </c>
      <c r="B203" s="30">
        <v>1</v>
      </c>
      <c r="C203" s="30">
        <v>8</v>
      </c>
      <c r="D203" s="136" t="s">
        <v>28</v>
      </c>
      <c r="E203" s="136"/>
      <c r="F203" s="54" t="s">
        <v>437</v>
      </c>
      <c r="G203" s="57" t="s">
        <v>21</v>
      </c>
      <c r="H203" s="57" t="s">
        <v>22</v>
      </c>
      <c r="I203" s="57" t="s">
        <v>23</v>
      </c>
      <c r="J203" s="140">
        <v>0.95</v>
      </c>
      <c r="K203" s="140">
        <v>0.95</v>
      </c>
      <c r="L203" s="140">
        <v>0.95</v>
      </c>
      <c r="M203" s="140">
        <v>0.95</v>
      </c>
      <c r="N203" s="140">
        <v>0.95</v>
      </c>
      <c r="O203" s="140">
        <v>0.2</v>
      </c>
      <c r="P203" s="140">
        <v>0.95</v>
      </c>
      <c r="Q203" s="49" t="e">
        <f>+R203/#REF!</f>
        <v>#REF!</v>
      </c>
      <c r="R203" s="24" t="e">
        <f t="shared" ref="R203:V204" si="30">+SUM(R204:R211)</f>
        <v>#REF!</v>
      </c>
      <c r="S203" s="24" t="e">
        <f t="shared" si="30"/>
        <v>#REF!</v>
      </c>
      <c r="T203" s="24" t="e">
        <f t="shared" si="30"/>
        <v>#REF!</v>
      </c>
      <c r="U203" s="24" t="e">
        <f t="shared" si="30"/>
        <v>#REF!</v>
      </c>
      <c r="V203" s="24" t="e">
        <f t="shared" si="30"/>
        <v>#REF!</v>
      </c>
    </row>
    <row r="204" spans="1:40" s="21" customFormat="1" ht="12.4" customHeight="1" x14ac:dyDescent="0.25">
      <c r="A204" s="30">
        <v>4</v>
      </c>
      <c r="B204" s="30">
        <v>1</v>
      </c>
      <c r="C204" s="30">
        <v>8</v>
      </c>
      <c r="D204" s="136" t="s">
        <v>28</v>
      </c>
      <c r="E204" s="136"/>
      <c r="F204" s="54" t="s">
        <v>438</v>
      </c>
      <c r="G204" s="57" t="s">
        <v>21</v>
      </c>
      <c r="H204" s="57" t="s">
        <v>18</v>
      </c>
      <c r="I204" s="57" t="s">
        <v>23</v>
      </c>
      <c r="J204" s="60">
        <v>4.5</v>
      </c>
      <c r="K204" s="60">
        <v>4.5</v>
      </c>
      <c r="L204" s="60">
        <v>4.5</v>
      </c>
      <c r="M204" s="60">
        <v>4.5</v>
      </c>
      <c r="N204" s="60">
        <v>4.5</v>
      </c>
      <c r="O204" s="60">
        <v>4.5</v>
      </c>
      <c r="P204" s="60">
        <v>4.5</v>
      </c>
      <c r="Q204" s="49" t="e">
        <f>+R204/#REF!</f>
        <v>#REF!</v>
      </c>
      <c r="R204" s="24" t="e">
        <f t="shared" si="30"/>
        <v>#REF!</v>
      </c>
      <c r="S204" s="24" t="e">
        <f t="shared" si="30"/>
        <v>#REF!</v>
      </c>
      <c r="T204" s="24" t="e">
        <f t="shared" si="30"/>
        <v>#REF!</v>
      </c>
      <c r="U204" s="24" t="e">
        <f t="shared" si="30"/>
        <v>#REF!</v>
      </c>
      <c r="V204" s="24" t="e">
        <f t="shared" si="30"/>
        <v>#REF!</v>
      </c>
    </row>
    <row r="205" spans="1:40" ht="12.4" customHeight="1" x14ac:dyDescent="0.25">
      <c r="A205" s="113">
        <v>4</v>
      </c>
      <c r="B205" s="113">
        <v>2</v>
      </c>
      <c r="C205" s="113">
        <v>0</v>
      </c>
      <c r="D205" s="114" t="s">
        <v>1</v>
      </c>
      <c r="E205" s="114"/>
      <c r="F205" s="115" t="s">
        <v>439</v>
      </c>
      <c r="G205" s="113"/>
      <c r="H205" s="113"/>
      <c r="I205" s="113"/>
      <c r="J205" s="113"/>
      <c r="K205" s="116"/>
      <c r="L205" s="116"/>
      <c r="M205" s="116"/>
      <c r="N205" s="116"/>
      <c r="O205" s="116"/>
      <c r="P205" s="116"/>
      <c r="Q205" s="117" t="e">
        <f>+R205/#REF!</f>
        <v>#REF!</v>
      </c>
      <c r="R205" s="118" t="e">
        <f>+R206+R234</f>
        <v>#REF!</v>
      </c>
      <c r="S205" s="118" t="e">
        <f>+S206+S234</f>
        <v>#REF!</v>
      </c>
      <c r="T205" s="118" t="e">
        <f>+T206+T234</f>
        <v>#REF!</v>
      </c>
      <c r="U205" s="118" t="e">
        <f>+U206+U234</f>
        <v>#REF!</v>
      </c>
      <c r="V205" s="118" t="e">
        <f>+V206+V234</f>
        <v>#REF!</v>
      </c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</row>
    <row r="206" spans="1:40" s="173" customFormat="1" ht="12.4" customHeight="1" x14ac:dyDescent="0.25">
      <c r="A206" s="119">
        <v>4</v>
      </c>
      <c r="B206" s="119">
        <v>2</v>
      </c>
      <c r="C206" s="119">
        <v>1</v>
      </c>
      <c r="D206" s="120" t="s">
        <v>253</v>
      </c>
      <c r="E206" s="120"/>
      <c r="F206" s="121" t="s">
        <v>440</v>
      </c>
      <c r="G206" s="119"/>
      <c r="H206" s="119"/>
      <c r="I206" s="119"/>
      <c r="J206" s="119"/>
      <c r="K206" s="122"/>
      <c r="L206" s="122"/>
      <c r="M206" s="122"/>
      <c r="N206" s="122"/>
      <c r="O206" s="122"/>
      <c r="P206" s="122"/>
      <c r="Q206" s="123" t="e">
        <f>+R206/#REF!</f>
        <v>#REF!</v>
      </c>
      <c r="R206" s="124" t="e">
        <f>+R207+#REF!</f>
        <v>#REF!</v>
      </c>
      <c r="S206" s="124" t="e">
        <f>+S207+#REF!</f>
        <v>#REF!</v>
      </c>
      <c r="T206" s="124" t="e">
        <f>+T207+#REF!</f>
        <v>#REF!</v>
      </c>
      <c r="U206" s="124" t="e">
        <f>+U207+#REF!</f>
        <v>#REF!</v>
      </c>
      <c r="V206" s="124" t="e">
        <f>+V207+#REF!</f>
        <v>#REF!</v>
      </c>
      <c r="W206" s="174"/>
      <c r="X206" s="174"/>
      <c r="Y206" s="174"/>
      <c r="Z206" s="174"/>
      <c r="AA206" s="174"/>
      <c r="AB206" s="174"/>
      <c r="AC206" s="174"/>
      <c r="AD206" s="174"/>
      <c r="AE206" s="174"/>
      <c r="AF206" s="174"/>
      <c r="AG206" s="174"/>
      <c r="AH206" s="174"/>
      <c r="AI206" s="174"/>
      <c r="AJ206" s="174"/>
      <c r="AK206" s="174"/>
      <c r="AL206" s="174"/>
      <c r="AM206" s="174"/>
      <c r="AN206" s="174"/>
    </row>
    <row r="207" spans="1:40" s="21" customFormat="1" ht="12.4" customHeight="1" x14ac:dyDescent="0.25">
      <c r="A207" s="29">
        <v>4</v>
      </c>
      <c r="B207" s="29">
        <v>2</v>
      </c>
      <c r="C207" s="29">
        <v>1</v>
      </c>
      <c r="D207" s="136" t="s">
        <v>28</v>
      </c>
      <c r="E207" s="136"/>
      <c r="F207" s="54" t="s">
        <v>210</v>
      </c>
      <c r="G207" s="57" t="s">
        <v>21</v>
      </c>
      <c r="H207" s="57" t="s">
        <v>18</v>
      </c>
      <c r="I207" s="57" t="s">
        <v>40</v>
      </c>
      <c r="J207" s="60">
        <v>0</v>
      </c>
      <c r="K207" s="60">
        <v>1</v>
      </c>
      <c r="L207" s="60">
        <v>1</v>
      </c>
      <c r="M207" s="60">
        <v>1</v>
      </c>
      <c r="N207" s="60">
        <v>1</v>
      </c>
      <c r="O207" s="60">
        <v>1</v>
      </c>
      <c r="P207" s="60">
        <v>1</v>
      </c>
      <c r="Q207" s="49" t="e">
        <f>+R207/#REF!</f>
        <v>#REF!</v>
      </c>
      <c r="R207" s="24">
        <f>+SUM(R208:R223)</f>
        <v>32080522589</v>
      </c>
      <c r="S207" s="24">
        <f>+SUM(S208:S223)</f>
        <v>3966441975</v>
      </c>
      <c r="T207" s="24">
        <f>+SUM(T208:T223)</f>
        <v>9822803670</v>
      </c>
      <c r="U207" s="24">
        <f>+SUM(U208:U223)</f>
        <v>10258453150</v>
      </c>
      <c r="V207" s="126">
        <f>+SUM(V208:V223)</f>
        <v>8032823794</v>
      </c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</row>
    <row r="208" spans="1:40" s="64" customFormat="1" ht="12.4" customHeight="1" x14ac:dyDescent="0.25">
      <c r="A208" s="30">
        <v>4</v>
      </c>
      <c r="B208" s="30">
        <v>2</v>
      </c>
      <c r="C208" s="30">
        <v>1</v>
      </c>
      <c r="D208" s="50" t="s">
        <v>38</v>
      </c>
      <c r="E208" s="50"/>
      <c r="F208" s="84" t="s">
        <v>441</v>
      </c>
      <c r="G208" s="57" t="s">
        <v>21</v>
      </c>
      <c r="H208" s="57" t="s">
        <v>22</v>
      </c>
      <c r="I208" s="57" t="s">
        <v>40</v>
      </c>
      <c r="J208" s="141">
        <v>0</v>
      </c>
      <c r="K208" s="141">
        <v>0</v>
      </c>
      <c r="L208" s="141">
        <v>0.5</v>
      </c>
      <c r="M208" s="141">
        <v>1</v>
      </c>
      <c r="N208" s="141">
        <v>1</v>
      </c>
      <c r="O208" s="141">
        <v>1</v>
      </c>
      <c r="P208" s="141">
        <v>1</v>
      </c>
      <c r="Q208" s="56" t="e">
        <f>+R208/#REF!</f>
        <v>#REF!</v>
      </c>
      <c r="R208" s="53">
        <f t="shared" ref="R208:R223" si="31">+SUM(S208:V208)</f>
        <v>13886638579</v>
      </c>
      <c r="S208" s="59">
        <v>3330869327</v>
      </c>
      <c r="T208" s="59">
        <v>3360407366</v>
      </c>
      <c r="U208" s="59">
        <v>3513259990</v>
      </c>
      <c r="V208" s="125">
        <v>3682101896</v>
      </c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</row>
    <row r="209" spans="1:40" ht="12.4" customHeight="1" x14ac:dyDescent="0.25">
      <c r="A209" s="119">
        <v>4</v>
      </c>
      <c r="B209" s="119">
        <v>2</v>
      </c>
      <c r="C209" s="119">
        <v>2</v>
      </c>
      <c r="D209" s="120" t="s">
        <v>2</v>
      </c>
      <c r="E209" s="120"/>
      <c r="F209" s="121" t="s">
        <v>442</v>
      </c>
      <c r="G209" s="119"/>
      <c r="H209" s="119"/>
      <c r="I209" s="119"/>
      <c r="J209" s="119"/>
      <c r="K209" s="122"/>
      <c r="L209" s="122"/>
      <c r="M209" s="122"/>
      <c r="N209" s="122"/>
      <c r="O209" s="122"/>
      <c r="P209" s="122"/>
      <c r="Q209" s="123" t="e">
        <f>+R209/#REF!</f>
        <v>#REF!</v>
      </c>
      <c r="R209" s="124">
        <f t="shared" si="31"/>
        <v>4818346015</v>
      </c>
      <c r="S209" s="124">
        <v>0</v>
      </c>
      <c r="T209" s="124">
        <v>1731723912</v>
      </c>
      <c r="U209" s="124">
        <v>1951379647</v>
      </c>
      <c r="V209" s="124">
        <v>1135242456</v>
      </c>
    </row>
    <row r="210" spans="1:40" ht="12.4" customHeight="1" x14ac:dyDescent="0.25">
      <c r="A210" s="30">
        <v>4</v>
      </c>
      <c r="B210" s="30">
        <v>2</v>
      </c>
      <c r="C210" s="30">
        <v>2</v>
      </c>
      <c r="D210" s="136" t="s">
        <v>28</v>
      </c>
      <c r="E210" s="136"/>
      <c r="F210" s="54" t="s">
        <v>443</v>
      </c>
      <c r="G210" s="57" t="s">
        <v>21</v>
      </c>
      <c r="H210" s="57" t="s">
        <v>22</v>
      </c>
      <c r="I210" s="156" t="s">
        <v>30</v>
      </c>
      <c r="J210" s="140">
        <v>0.95</v>
      </c>
      <c r="K210" s="140">
        <v>0.95</v>
      </c>
      <c r="L210" s="140">
        <v>0.95</v>
      </c>
      <c r="M210" s="140">
        <v>0.95</v>
      </c>
      <c r="N210" s="140">
        <v>0.95</v>
      </c>
      <c r="O210" s="140">
        <v>0.2</v>
      </c>
      <c r="P210" s="140">
        <v>0.95</v>
      </c>
      <c r="Q210" s="61" t="e">
        <f>+R210/#REF!</f>
        <v>#REF!</v>
      </c>
      <c r="R210" s="53">
        <f>+SUM(S210:V210)</f>
        <v>170000000</v>
      </c>
      <c r="S210" s="59">
        <v>0</v>
      </c>
      <c r="T210" s="59">
        <v>51000000</v>
      </c>
      <c r="U210" s="59">
        <v>57000000</v>
      </c>
      <c r="V210" s="59">
        <v>62000000</v>
      </c>
    </row>
    <row r="211" spans="1:40" ht="12.4" customHeight="1" x14ac:dyDescent="0.25">
      <c r="A211" s="30">
        <v>4</v>
      </c>
      <c r="B211" s="30">
        <v>2</v>
      </c>
      <c r="C211" s="30">
        <v>2</v>
      </c>
      <c r="D211" s="136" t="s">
        <v>28</v>
      </c>
      <c r="E211" s="136"/>
      <c r="F211" s="54" t="s">
        <v>444</v>
      </c>
      <c r="G211" s="57" t="s">
        <v>21</v>
      </c>
      <c r="H211" s="57" t="s">
        <v>18</v>
      </c>
      <c r="I211" s="57" t="s">
        <v>30</v>
      </c>
      <c r="J211" s="60">
        <v>4</v>
      </c>
      <c r="K211" s="60">
        <v>4</v>
      </c>
      <c r="L211" s="60">
        <v>4.2</v>
      </c>
      <c r="M211" s="60">
        <v>4.3</v>
      </c>
      <c r="N211" s="60">
        <v>4.4000000000000004</v>
      </c>
      <c r="O211" s="60">
        <v>4.5</v>
      </c>
      <c r="P211" s="60">
        <v>4.5</v>
      </c>
      <c r="Q211" s="61" t="e">
        <f>+R211/#REF!</f>
        <v>#REF!</v>
      </c>
      <c r="R211" s="53">
        <f>+SUM(S211:V211)</f>
        <v>0</v>
      </c>
      <c r="S211" s="59">
        <v>0</v>
      </c>
      <c r="T211" s="59">
        <v>0</v>
      </c>
      <c r="U211" s="59">
        <v>0</v>
      </c>
      <c r="V211" s="59">
        <v>0</v>
      </c>
    </row>
    <row r="212" spans="1:40" ht="12.4" customHeight="1" x14ac:dyDescent="0.25">
      <c r="A212" s="119">
        <v>4</v>
      </c>
      <c r="B212" s="119">
        <v>2</v>
      </c>
      <c r="C212" s="119">
        <v>3</v>
      </c>
      <c r="D212" s="120" t="s">
        <v>2</v>
      </c>
      <c r="E212" s="120"/>
      <c r="F212" s="121" t="s">
        <v>445</v>
      </c>
      <c r="G212" s="119"/>
      <c r="H212" s="119"/>
      <c r="I212" s="119"/>
      <c r="J212" s="119"/>
      <c r="K212" s="122"/>
      <c r="L212" s="122"/>
      <c r="M212" s="122"/>
      <c r="N212" s="122"/>
      <c r="O212" s="122"/>
      <c r="P212" s="122"/>
      <c r="Q212" s="123" t="e">
        <f>+R212/#REF!</f>
        <v>#REF!</v>
      </c>
      <c r="R212" s="124">
        <f t="shared" si="31"/>
        <v>4818346015</v>
      </c>
      <c r="S212" s="124">
        <v>0</v>
      </c>
      <c r="T212" s="124">
        <v>1731723912</v>
      </c>
      <c r="U212" s="124">
        <v>1951379647</v>
      </c>
      <c r="V212" s="124">
        <v>1135242456</v>
      </c>
    </row>
    <row r="213" spans="1:40" s="64" customFormat="1" ht="12.4" customHeight="1" x14ac:dyDescent="0.25">
      <c r="A213" s="30">
        <v>4</v>
      </c>
      <c r="B213" s="30">
        <v>2</v>
      </c>
      <c r="C213" s="30">
        <v>3</v>
      </c>
      <c r="D213" s="50" t="s">
        <v>38</v>
      </c>
      <c r="E213" s="50"/>
      <c r="F213" s="54" t="s">
        <v>446</v>
      </c>
      <c r="G213" s="57" t="s">
        <v>17</v>
      </c>
      <c r="H213" s="57" t="s">
        <v>22</v>
      </c>
      <c r="I213" s="57" t="s">
        <v>40</v>
      </c>
      <c r="J213" s="140">
        <v>0</v>
      </c>
      <c r="K213" s="140">
        <v>0</v>
      </c>
      <c r="L213" s="140">
        <v>0.15</v>
      </c>
      <c r="M213" s="140">
        <v>0.4</v>
      </c>
      <c r="N213" s="140">
        <v>0.8</v>
      </c>
      <c r="O213" s="140">
        <v>0.8</v>
      </c>
      <c r="P213" s="140">
        <v>0.8</v>
      </c>
      <c r="Q213" s="61" t="e">
        <f>+R213/#REF!</f>
        <v>#REF!</v>
      </c>
      <c r="R213" s="53">
        <f t="shared" si="31"/>
        <v>1084831839</v>
      </c>
      <c r="S213" s="59">
        <v>234695616</v>
      </c>
      <c r="T213" s="59">
        <v>258165177</v>
      </c>
      <c r="U213" s="59">
        <v>282601031</v>
      </c>
      <c r="V213" s="125">
        <v>309370015</v>
      </c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</row>
    <row r="214" spans="1:40" s="64" customFormat="1" ht="12.4" customHeight="1" x14ac:dyDescent="0.25">
      <c r="A214" s="30">
        <v>4</v>
      </c>
      <c r="B214" s="30">
        <v>2</v>
      </c>
      <c r="C214" s="30">
        <v>3</v>
      </c>
      <c r="D214" s="50" t="s">
        <v>38</v>
      </c>
      <c r="E214" s="50"/>
      <c r="F214" s="54" t="s">
        <v>264</v>
      </c>
      <c r="G214" s="57" t="s">
        <v>21</v>
      </c>
      <c r="H214" s="57" t="s">
        <v>22</v>
      </c>
      <c r="I214" s="57" t="s">
        <v>30</v>
      </c>
      <c r="J214" s="140">
        <v>0.99</v>
      </c>
      <c r="K214" s="140">
        <v>0.98</v>
      </c>
      <c r="L214" s="140">
        <v>0.98</v>
      </c>
      <c r="M214" s="140">
        <v>0.98</v>
      </c>
      <c r="N214" s="140">
        <v>0.98</v>
      </c>
      <c r="O214" s="140">
        <v>0.2</v>
      </c>
      <c r="P214" s="140">
        <v>0.98</v>
      </c>
      <c r="Q214" s="61" t="e">
        <f>+R214/#REF!</f>
        <v>#REF!</v>
      </c>
      <c r="R214" s="53">
        <f t="shared" si="31"/>
        <v>1084831839</v>
      </c>
      <c r="S214" s="59">
        <v>234695616</v>
      </c>
      <c r="T214" s="59">
        <v>258165177</v>
      </c>
      <c r="U214" s="59">
        <v>282601031</v>
      </c>
      <c r="V214" s="125">
        <v>309370015</v>
      </c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</row>
    <row r="215" spans="1:40" s="64" customFormat="1" ht="12.4" customHeight="1" x14ac:dyDescent="0.25">
      <c r="A215" s="30">
        <v>4</v>
      </c>
      <c r="B215" s="30">
        <v>2</v>
      </c>
      <c r="C215" s="30">
        <v>3</v>
      </c>
      <c r="D215" s="136" t="s">
        <v>28</v>
      </c>
      <c r="E215" s="136"/>
      <c r="F215" s="54" t="s">
        <v>447</v>
      </c>
      <c r="G215" s="57" t="s">
        <v>21</v>
      </c>
      <c r="H215" s="57" t="s">
        <v>246</v>
      </c>
      <c r="I215" s="57" t="s">
        <v>23</v>
      </c>
      <c r="J215" s="60">
        <v>4.3</v>
      </c>
      <c r="K215" s="60">
        <v>4.3</v>
      </c>
      <c r="L215" s="60">
        <v>4.3</v>
      </c>
      <c r="M215" s="60">
        <v>4.3</v>
      </c>
      <c r="N215" s="60">
        <v>4.3</v>
      </c>
      <c r="O215" s="60">
        <v>4.3</v>
      </c>
      <c r="P215" s="60">
        <v>4.3</v>
      </c>
      <c r="Q215" s="61"/>
      <c r="R215" s="53"/>
      <c r="S215" s="59"/>
      <c r="T215" s="59"/>
      <c r="U215" s="59"/>
      <c r="V215" s="12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</row>
    <row r="216" spans="1:40" s="64" customFormat="1" ht="12.4" customHeight="1" x14ac:dyDescent="0.25">
      <c r="A216" s="30">
        <v>4</v>
      </c>
      <c r="B216" s="30">
        <v>2</v>
      </c>
      <c r="C216" s="30">
        <v>3</v>
      </c>
      <c r="D216" s="136" t="s">
        <v>28</v>
      </c>
      <c r="E216" s="136"/>
      <c r="F216" s="54" t="s">
        <v>448</v>
      </c>
      <c r="G216" s="57" t="s">
        <v>21</v>
      </c>
      <c r="H216" s="57" t="s">
        <v>248</v>
      </c>
      <c r="I216" s="57" t="s">
        <v>23</v>
      </c>
      <c r="J216" s="60">
        <v>475</v>
      </c>
      <c r="K216" s="60">
        <v>475</v>
      </c>
      <c r="L216" s="60">
        <v>475</v>
      </c>
      <c r="M216" s="60">
        <v>475</v>
      </c>
      <c r="N216" s="60">
        <v>475</v>
      </c>
      <c r="O216" s="60">
        <v>475</v>
      </c>
      <c r="P216" s="60">
        <v>475</v>
      </c>
      <c r="Q216" s="61"/>
      <c r="R216" s="53"/>
      <c r="S216" s="59"/>
      <c r="T216" s="59"/>
      <c r="U216" s="59"/>
      <c r="V216" s="125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</row>
    <row r="217" spans="1:40" s="64" customFormat="1" ht="12.4" customHeight="1" x14ac:dyDescent="0.25">
      <c r="A217" s="30">
        <v>4</v>
      </c>
      <c r="B217" s="30">
        <v>2</v>
      </c>
      <c r="C217" s="30">
        <v>3</v>
      </c>
      <c r="D217" s="136" t="s">
        <v>28</v>
      </c>
      <c r="E217" s="136"/>
      <c r="F217" s="138" t="s">
        <v>449</v>
      </c>
      <c r="G217" s="57" t="s">
        <v>21</v>
      </c>
      <c r="H217" s="57" t="s">
        <v>266</v>
      </c>
      <c r="I217" s="57"/>
      <c r="J217" s="141"/>
      <c r="K217" s="60">
        <v>500</v>
      </c>
      <c r="L217" s="60">
        <f>500+K217</f>
        <v>1000</v>
      </c>
      <c r="M217" s="60">
        <f>500+L217</f>
        <v>1500</v>
      </c>
      <c r="N217" s="60">
        <f>500+M217</f>
        <v>2000</v>
      </c>
      <c r="O217" s="60">
        <f>125+N217</f>
        <v>2125</v>
      </c>
      <c r="P217" s="60">
        <v>2125</v>
      </c>
      <c r="Q217" s="61"/>
      <c r="R217" s="53"/>
      <c r="S217" s="59"/>
      <c r="T217" s="59"/>
      <c r="U217" s="59"/>
      <c r="V217" s="125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</row>
    <row r="218" spans="1:40" s="64" customFormat="1" ht="12.4" customHeight="1" x14ac:dyDescent="0.25">
      <c r="A218" s="30">
        <v>4</v>
      </c>
      <c r="B218" s="30">
        <v>2</v>
      </c>
      <c r="C218" s="30">
        <v>3</v>
      </c>
      <c r="D218" s="136" t="s">
        <v>28</v>
      </c>
      <c r="E218" s="136"/>
      <c r="F218" s="138" t="s">
        <v>450</v>
      </c>
      <c r="G218" s="57" t="s">
        <v>21</v>
      </c>
      <c r="H218" s="57" t="s">
        <v>266</v>
      </c>
      <c r="I218" s="57"/>
      <c r="J218" s="141"/>
      <c r="K218" s="60">
        <v>1500</v>
      </c>
      <c r="L218" s="60">
        <f>1500+K218</f>
        <v>3000</v>
      </c>
      <c r="M218" s="60">
        <f>1500+L218</f>
        <v>4500</v>
      </c>
      <c r="N218" s="60">
        <f>1500+M218</f>
        <v>6000</v>
      </c>
      <c r="O218" s="60">
        <f>300+N218</f>
        <v>6300</v>
      </c>
      <c r="P218" s="60">
        <v>6300</v>
      </c>
      <c r="Q218" s="61"/>
      <c r="R218" s="53"/>
      <c r="S218" s="59"/>
      <c r="T218" s="59"/>
      <c r="U218" s="59"/>
      <c r="V218" s="125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</row>
    <row r="219" spans="1:40" s="64" customFormat="1" ht="12.4" customHeight="1" x14ac:dyDescent="0.25">
      <c r="A219" s="30">
        <v>4</v>
      </c>
      <c r="B219" s="30">
        <v>2</v>
      </c>
      <c r="C219" s="30">
        <v>3</v>
      </c>
      <c r="D219" s="136" t="s">
        <v>28</v>
      </c>
      <c r="E219" s="136"/>
      <c r="F219" s="138" t="s">
        <v>451</v>
      </c>
      <c r="G219" s="57" t="s">
        <v>21</v>
      </c>
      <c r="H219" s="57" t="s">
        <v>266</v>
      </c>
      <c r="I219" s="57"/>
      <c r="J219" s="141"/>
      <c r="K219" s="60">
        <v>4400</v>
      </c>
      <c r="L219" s="60">
        <v>4400</v>
      </c>
      <c r="M219" s="60">
        <v>4400</v>
      </c>
      <c r="N219" s="60">
        <v>4400</v>
      </c>
      <c r="O219" s="60">
        <v>1000</v>
      </c>
      <c r="P219" s="60">
        <v>1700</v>
      </c>
      <c r="Q219" s="61"/>
      <c r="R219" s="53"/>
      <c r="S219" s="59"/>
      <c r="T219" s="59"/>
      <c r="U219" s="59"/>
      <c r="V219" s="125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</row>
    <row r="220" spans="1:40" s="64" customFormat="1" ht="12.4" customHeight="1" x14ac:dyDescent="0.25">
      <c r="A220" s="30">
        <v>4</v>
      </c>
      <c r="B220" s="30">
        <v>2</v>
      </c>
      <c r="C220" s="30">
        <v>3</v>
      </c>
      <c r="D220" s="136" t="s">
        <v>28</v>
      </c>
      <c r="E220" s="136"/>
      <c r="F220" s="138" t="s">
        <v>452</v>
      </c>
      <c r="G220" s="133" t="s">
        <v>17</v>
      </c>
      <c r="H220" s="133" t="s">
        <v>18</v>
      </c>
      <c r="I220" s="133" t="s">
        <v>30</v>
      </c>
      <c r="J220" s="137">
        <v>0</v>
      </c>
      <c r="K220" s="137">
        <v>3</v>
      </c>
      <c r="L220" s="137">
        <v>3.2</v>
      </c>
      <c r="M220" s="137">
        <v>3.5</v>
      </c>
      <c r="N220" s="137">
        <v>4</v>
      </c>
      <c r="O220" s="137">
        <v>4</v>
      </c>
      <c r="P220" s="137">
        <v>4</v>
      </c>
      <c r="Q220" s="61"/>
      <c r="R220" s="53"/>
      <c r="S220" s="59"/>
      <c r="T220" s="59"/>
      <c r="U220" s="59"/>
      <c r="V220" s="125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</row>
    <row r="221" spans="1:40" s="64" customFormat="1" ht="12.4" customHeight="1" x14ac:dyDescent="0.25">
      <c r="A221" s="30"/>
      <c r="B221" s="30"/>
      <c r="C221" s="30"/>
      <c r="D221" s="177" t="s">
        <v>15</v>
      </c>
      <c r="E221" s="177"/>
      <c r="F221" s="138" t="s">
        <v>453</v>
      </c>
      <c r="G221" s="133" t="s">
        <v>17</v>
      </c>
      <c r="H221" s="133"/>
      <c r="I221" s="133"/>
      <c r="J221" s="137"/>
      <c r="K221" s="137"/>
      <c r="L221" s="137"/>
      <c r="M221" s="137"/>
      <c r="N221" s="137"/>
      <c r="O221" s="137"/>
      <c r="P221" s="137"/>
      <c r="Q221" s="61"/>
      <c r="R221" s="53"/>
      <c r="S221" s="59"/>
      <c r="T221" s="59"/>
      <c r="U221" s="59"/>
      <c r="V221" s="125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</row>
    <row r="222" spans="1:40" s="64" customFormat="1" ht="12.4" customHeight="1" x14ac:dyDescent="0.25">
      <c r="A222" s="30">
        <v>4</v>
      </c>
      <c r="B222" s="30">
        <v>2</v>
      </c>
      <c r="C222" s="30">
        <v>3</v>
      </c>
      <c r="D222" s="50" t="s">
        <v>38</v>
      </c>
      <c r="E222" s="50"/>
      <c r="F222" s="54" t="s">
        <v>454</v>
      </c>
      <c r="G222" s="57" t="s">
        <v>21</v>
      </c>
      <c r="H222" s="57" t="s">
        <v>22</v>
      </c>
      <c r="I222" s="57" t="s">
        <v>23</v>
      </c>
      <c r="J222" s="140">
        <v>0.98</v>
      </c>
      <c r="K222" s="140">
        <v>0.98</v>
      </c>
      <c r="L222" s="140">
        <v>0.98</v>
      </c>
      <c r="M222" s="140">
        <v>0.98</v>
      </c>
      <c r="N222" s="140">
        <v>0.98</v>
      </c>
      <c r="O222" s="140">
        <v>0.2</v>
      </c>
      <c r="P222" s="140">
        <v>0.98</v>
      </c>
      <c r="Q222" s="61" t="e">
        <f>+R222/#REF!</f>
        <v>#REF!</v>
      </c>
      <c r="R222" s="53">
        <f t="shared" si="31"/>
        <v>1399182287</v>
      </c>
      <c r="S222" s="59">
        <v>166181416</v>
      </c>
      <c r="T222" s="59">
        <v>699894214</v>
      </c>
      <c r="U222" s="59">
        <v>268852157</v>
      </c>
      <c r="V222" s="125">
        <v>264254499.99999994</v>
      </c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</row>
    <row r="223" spans="1:40" ht="12.4" customHeight="1" x14ac:dyDescent="0.25">
      <c r="A223" s="119">
        <v>4</v>
      </c>
      <c r="B223" s="119">
        <v>2</v>
      </c>
      <c r="C223" s="119">
        <v>4</v>
      </c>
      <c r="D223" s="120" t="s">
        <v>2</v>
      </c>
      <c r="E223" s="120"/>
      <c r="F223" s="121" t="s">
        <v>274</v>
      </c>
      <c r="G223" s="119"/>
      <c r="H223" s="119"/>
      <c r="I223" s="119"/>
      <c r="J223" s="119"/>
      <c r="K223" s="122"/>
      <c r="L223" s="122"/>
      <c r="M223" s="122"/>
      <c r="N223" s="122"/>
      <c r="O223" s="122"/>
      <c r="P223" s="122"/>
      <c r="Q223" s="123" t="e">
        <f>+R223/#REF!</f>
        <v>#REF!</v>
      </c>
      <c r="R223" s="124">
        <f t="shared" si="31"/>
        <v>4818346015</v>
      </c>
      <c r="S223" s="124">
        <v>0</v>
      </c>
      <c r="T223" s="124">
        <v>1731723912</v>
      </c>
      <c r="U223" s="124">
        <v>1951379647</v>
      </c>
      <c r="V223" s="124">
        <v>1135242456</v>
      </c>
    </row>
    <row r="224" spans="1:40" ht="12.4" customHeight="1" x14ac:dyDescent="0.25">
      <c r="A224" s="30">
        <v>4</v>
      </c>
      <c r="B224" s="30">
        <v>2</v>
      </c>
      <c r="C224" s="30">
        <v>4</v>
      </c>
      <c r="D224" s="50" t="s">
        <v>38</v>
      </c>
      <c r="E224" s="50"/>
      <c r="F224" s="54" t="s">
        <v>455</v>
      </c>
      <c r="G224" s="57" t="s">
        <v>17</v>
      </c>
      <c r="H224" s="134"/>
      <c r="I224" s="134"/>
      <c r="J224" s="134"/>
      <c r="K224" s="140">
        <v>0.7</v>
      </c>
      <c r="L224" s="140">
        <v>0.8</v>
      </c>
      <c r="M224" s="140">
        <v>0.9</v>
      </c>
      <c r="N224" s="140">
        <v>0.9</v>
      </c>
      <c r="O224" s="140">
        <v>0.2</v>
      </c>
      <c r="P224" s="140">
        <v>0.9</v>
      </c>
      <c r="Q224" s="61"/>
      <c r="R224" s="53"/>
      <c r="S224" s="59"/>
      <c r="T224" s="59"/>
      <c r="U224" s="59"/>
      <c r="V224" s="59"/>
    </row>
    <row r="225" spans="1:40" ht="12.4" customHeight="1" x14ac:dyDescent="0.25">
      <c r="A225" s="30">
        <v>4</v>
      </c>
      <c r="B225" s="30">
        <v>2</v>
      </c>
      <c r="C225" s="30">
        <v>4</v>
      </c>
      <c r="D225" s="50" t="s">
        <v>38</v>
      </c>
      <c r="E225" s="50"/>
      <c r="F225" s="179" t="s">
        <v>276</v>
      </c>
      <c r="G225" s="57" t="s">
        <v>17</v>
      </c>
      <c r="H225" s="57" t="s">
        <v>18</v>
      </c>
      <c r="I225" s="57" t="s">
        <v>40</v>
      </c>
      <c r="J225" s="60">
        <v>0</v>
      </c>
      <c r="K225" s="60">
        <v>0</v>
      </c>
      <c r="L225" s="60">
        <v>6</v>
      </c>
      <c r="M225" s="60">
        <v>12</v>
      </c>
      <c r="N225" s="60">
        <v>18</v>
      </c>
      <c r="O225" s="60">
        <v>18</v>
      </c>
      <c r="P225" s="60">
        <v>18</v>
      </c>
      <c r="Q225" s="61"/>
      <c r="R225" s="53"/>
      <c r="S225" s="59"/>
      <c r="T225" s="59"/>
      <c r="U225" s="59"/>
      <c r="V225" s="59"/>
    </row>
    <row r="226" spans="1:40" ht="12.4" customHeight="1" x14ac:dyDescent="0.25">
      <c r="A226" s="30">
        <v>4</v>
      </c>
      <c r="B226" s="30">
        <v>2</v>
      </c>
      <c r="C226" s="30">
        <v>4</v>
      </c>
      <c r="D226" s="50" t="s">
        <v>38</v>
      </c>
      <c r="E226" s="50"/>
      <c r="F226" s="179" t="s">
        <v>456</v>
      </c>
      <c r="G226" s="57" t="s">
        <v>17</v>
      </c>
      <c r="H226" s="57" t="s">
        <v>18</v>
      </c>
      <c r="I226" s="57" t="s">
        <v>40</v>
      </c>
      <c r="J226" s="60">
        <v>0</v>
      </c>
      <c r="K226" s="60">
        <v>1</v>
      </c>
      <c r="L226" s="60">
        <v>3</v>
      </c>
      <c r="M226" s="60">
        <v>7</v>
      </c>
      <c r="N226" s="60">
        <v>10</v>
      </c>
      <c r="O226" s="60">
        <v>11</v>
      </c>
      <c r="P226" s="60">
        <v>11</v>
      </c>
      <c r="Q226" s="61"/>
      <c r="R226" s="53"/>
      <c r="S226" s="59"/>
      <c r="T226" s="59"/>
      <c r="U226" s="59"/>
      <c r="V226" s="59"/>
    </row>
    <row r="227" spans="1:40" ht="12.4" customHeight="1" x14ac:dyDescent="0.25">
      <c r="A227" s="30">
        <v>4</v>
      </c>
      <c r="B227" s="30">
        <v>2</v>
      </c>
      <c r="C227" s="30">
        <v>4</v>
      </c>
      <c r="D227" s="50" t="s">
        <v>38</v>
      </c>
      <c r="E227" s="50"/>
      <c r="F227" s="54" t="s">
        <v>457</v>
      </c>
      <c r="G227" s="57" t="s">
        <v>17</v>
      </c>
      <c r="H227" s="57" t="s">
        <v>22</v>
      </c>
      <c r="I227" s="57" t="s">
        <v>40</v>
      </c>
      <c r="J227" s="60">
        <v>1</v>
      </c>
      <c r="K227" s="180">
        <v>3</v>
      </c>
      <c r="L227" s="180">
        <v>9</v>
      </c>
      <c r="M227" s="180">
        <v>12</v>
      </c>
      <c r="N227" s="180">
        <v>12</v>
      </c>
      <c r="O227" s="180">
        <v>12</v>
      </c>
      <c r="P227" s="180">
        <v>12</v>
      </c>
      <c r="Q227" s="61"/>
      <c r="R227" s="53"/>
      <c r="S227" s="59"/>
      <c r="T227" s="59"/>
      <c r="U227" s="59"/>
      <c r="V227" s="59"/>
    </row>
    <row r="228" spans="1:40" ht="12.4" customHeight="1" x14ac:dyDescent="0.25">
      <c r="A228" s="119">
        <v>4</v>
      </c>
      <c r="B228" s="119">
        <v>2</v>
      </c>
      <c r="C228" s="119">
        <v>5</v>
      </c>
      <c r="D228" s="120" t="s">
        <v>2</v>
      </c>
      <c r="E228" s="120"/>
      <c r="F228" s="121" t="s">
        <v>458</v>
      </c>
      <c r="G228" s="119"/>
      <c r="H228" s="119"/>
      <c r="I228" s="119"/>
      <c r="J228" s="119"/>
      <c r="K228" s="122"/>
      <c r="L228" s="122"/>
      <c r="M228" s="122"/>
      <c r="N228" s="122"/>
      <c r="O228" s="122"/>
      <c r="P228" s="122"/>
      <c r="Q228" s="123" t="e">
        <f>+R228/#REF!</f>
        <v>#REF!</v>
      </c>
      <c r="R228" s="124">
        <f t="shared" ref="R228:R233" si="32">+SUM(S228:V228)</f>
        <v>4818346015</v>
      </c>
      <c r="S228" s="124">
        <v>0</v>
      </c>
      <c r="T228" s="124">
        <v>1731723912</v>
      </c>
      <c r="U228" s="124">
        <v>1951379647</v>
      </c>
      <c r="V228" s="124">
        <v>1135242456</v>
      </c>
    </row>
    <row r="229" spans="1:40" ht="12.4" customHeight="1" x14ac:dyDescent="0.25">
      <c r="A229" s="85">
        <v>4</v>
      </c>
      <c r="B229" s="85">
        <v>2</v>
      </c>
      <c r="C229" s="85">
        <v>5</v>
      </c>
      <c r="D229" s="136" t="s">
        <v>28</v>
      </c>
      <c r="E229" s="136"/>
      <c r="F229" s="54" t="s">
        <v>459</v>
      </c>
      <c r="G229" s="57" t="s">
        <v>21</v>
      </c>
      <c r="H229" s="134"/>
      <c r="I229" s="134"/>
      <c r="J229" s="134"/>
      <c r="K229" s="139"/>
      <c r="L229" s="139"/>
      <c r="M229" s="139"/>
      <c r="N229" s="139"/>
      <c r="O229" s="139"/>
      <c r="P229" s="139"/>
      <c r="Q229" s="61" t="e">
        <f>+R229/#REF!</f>
        <v>#REF!</v>
      </c>
      <c r="R229" s="53">
        <f t="shared" si="32"/>
        <v>8412003396</v>
      </c>
      <c r="S229" s="59">
        <v>1818280346</v>
      </c>
      <c r="T229" s="59">
        <v>2000108380</v>
      </c>
      <c r="U229" s="59">
        <v>2191743216</v>
      </c>
      <c r="V229" s="59">
        <v>2401871454</v>
      </c>
    </row>
    <row r="230" spans="1:40" ht="12.4" customHeight="1" x14ac:dyDescent="0.25">
      <c r="A230" s="30">
        <v>4</v>
      </c>
      <c r="B230" s="30">
        <v>2</v>
      </c>
      <c r="C230" s="30">
        <v>5</v>
      </c>
      <c r="D230" s="136" t="s">
        <v>28</v>
      </c>
      <c r="E230" s="136"/>
      <c r="F230" s="179" t="s">
        <v>460</v>
      </c>
      <c r="G230" s="57" t="s">
        <v>21</v>
      </c>
      <c r="H230" s="57" t="s">
        <v>22</v>
      </c>
      <c r="I230" s="134"/>
      <c r="J230" s="134"/>
      <c r="K230" s="139"/>
      <c r="L230" s="139"/>
      <c r="M230" s="139"/>
      <c r="N230" s="139"/>
      <c r="O230" s="139"/>
      <c r="P230" s="139"/>
      <c r="Q230" s="61" t="e">
        <f>+R230/#REF!</f>
        <v>#REF!</v>
      </c>
      <c r="R230" s="53">
        <f t="shared" si="32"/>
        <v>853656829</v>
      </c>
      <c r="S230" s="59">
        <v>183938123</v>
      </c>
      <c r="T230" s="59">
        <v>202331935</v>
      </c>
      <c r="U230" s="59">
        <v>222565129</v>
      </c>
      <c r="V230" s="59">
        <v>244821642</v>
      </c>
    </row>
    <row r="231" spans="1:40" ht="12.4" customHeight="1" x14ac:dyDescent="0.25">
      <c r="A231" s="30">
        <v>4</v>
      </c>
      <c r="B231" s="30">
        <v>2</v>
      </c>
      <c r="C231" s="30">
        <v>5</v>
      </c>
      <c r="D231" s="50"/>
      <c r="E231" s="50"/>
      <c r="F231" s="54"/>
      <c r="G231" s="57"/>
      <c r="H231" s="57"/>
      <c r="I231" s="57"/>
      <c r="J231" s="57"/>
      <c r="K231" s="60"/>
      <c r="L231" s="60"/>
      <c r="M231" s="60"/>
      <c r="N231" s="60"/>
      <c r="O231" s="139"/>
      <c r="P231" s="60"/>
      <c r="Q231" s="61" t="e">
        <f>+R231/#REF!</f>
        <v>#REF!</v>
      </c>
      <c r="R231" s="53">
        <f t="shared" si="32"/>
        <v>515323912</v>
      </c>
      <c r="S231" s="59">
        <v>0</v>
      </c>
      <c r="T231" s="59">
        <v>250000000</v>
      </c>
      <c r="U231" s="59">
        <v>188277486</v>
      </c>
      <c r="V231" s="59">
        <v>77046426</v>
      </c>
    </row>
    <row r="232" spans="1:40" ht="12.4" customHeight="1" x14ac:dyDescent="0.25">
      <c r="A232" s="30">
        <v>4</v>
      </c>
      <c r="B232" s="30">
        <v>2</v>
      </c>
      <c r="C232" s="30">
        <v>5</v>
      </c>
      <c r="D232" s="50"/>
      <c r="E232" s="50"/>
      <c r="F232" s="54"/>
      <c r="G232" s="57"/>
      <c r="H232" s="57"/>
      <c r="I232" s="57"/>
      <c r="J232" s="57"/>
      <c r="K232" s="60"/>
      <c r="L232" s="60"/>
      <c r="M232" s="60"/>
      <c r="N232" s="60"/>
      <c r="O232" s="139"/>
      <c r="P232" s="60"/>
      <c r="Q232" s="61" t="e">
        <f>+R232/#REF!</f>
        <v>#REF!</v>
      </c>
      <c r="R232" s="53">
        <f t="shared" si="32"/>
        <v>797964829</v>
      </c>
      <c r="S232" s="59">
        <v>171938123</v>
      </c>
      <c r="T232" s="59">
        <v>189131935</v>
      </c>
      <c r="U232" s="59">
        <v>208045129</v>
      </c>
      <c r="V232" s="59">
        <v>228849642</v>
      </c>
    </row>
    <row r="233" spans="1:40" ht="12.4" customHeight="1" x14ac:dyDescent="0.25">
      <c r="A233" s="30">
        <v>4</v>
      </c>
      <c r="B233" s="30">
        <v>2</v>
      </c>
      <c r="C233" s="30">
        <v>5</v>
      </c>
      <c r="D233" s="50"/>
      <c r="E233" s="50"/>
      <c r="F233" s="54"/>
      <c r="G233" s="57"/>
      <c r="H233" s="57"/>
      <c r="I233" s="57"/>
      <c r="J233" s="57"/>
      <c r="K233" s="60"/>
      <c r="L233" s="60"/>
      <c r="M233" s="60"/>
      <c r="N233" s="60"/>
      <c r="O233" s="139"/>
      <c r="P233" s="60"/>
      <c r="Q233" s="61" t="e">
        <f>+R233/#REF!</f>
        <v>#REF!</v>
      </c>
      <c r="R233" s="53">
        <f t="shared" si="32"/>
        <v>40000000</v>
      </c>
      <c r="S233" s="59">
        <v>10000000</v>
      </c>
      <c r="T233" s="59">
        <v>10000000</v>
      </c>
      <c r="U233" s="59">
        <v>10000000</v>
      </c>
      <c r="V233" s="59">
        <v>10000000</v>
      </c>
    </row>
    <row r="234" spans="1:40" ht="12.4" customHeight="1" x14ac:dyDescent="0.25">
      <c r="A234" s="113">
        <v>4</v>
      </c>
      <c r="B234" s="113">
        <v>3</v>
      </c>
      <c r="C234" s="113">
        <v>0</v>
      </c>
      <c r="D234" s="114" t="s">
        <v>1</v>
      </c>
      <c r="E234" s="114"/>
      <c r="F234" s="115" t="s">
        <v>461</v>
      </c>
      <c r="G234" s="113"/>
      <c r="H234" s="113"/>
      <c r="I234" s="113"/>
      <c r="J234" s="113"/>
      <c r="K234" s="116"/>
      <c r="L234" s="116"/>
      <c r="M234" s="116"/>
      <c r="N234" s="116"/>
      <c r="O234" s="116"/>
      <c r="P234" s="116"/>
      <c r="Q234" s="117" t="e">
        <f>+R234/#REF!</f>
        <v>#REF!</v>
      </c>
      <c r="R234" s="118">
        <f>+R235+R264</f>
        <v>1735945173</v>
      </c>
      <c r="S234" s="118">
        <f>+S235+S264</f>
        <v>745945173</v>
      </c>
      <c r="T234" s="118">
        <f>+T235+T264</f>
        <v>300000000</v>
      </c>
      <c r="U234" s="118">
        <f>+U235+U264</f>
        <v>390000000</v>
      </c>
      <c r="V234" s="118">
        <f>+V235+V264</f>
        <v>300000000</v>
      </c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</row>
    <row r="235" spans="1:40" ht="12.4" customHeight="1" x14ac:dyDescent="0.25">
      <c r="A235" s="119">
        <v>4</v>
      </c>
      <c r="B235" s="119">
        <v>3</v>
      </c>
      <c r="C235" s="119">
        <v>1</v>
      </c>
      <c r="D235" s="120" t="s">
        <v>253</v>
      </c>
      <c r="E235" s="120"/>
      <c r="F235" s="121" t="s">
        <v>462</v>
      </c>
      <c r="G235" s="119"/>
      <c r="H235" s="119"/>
      <c r="I235" s="119"/>
      <c r="J235" s="119"/>
      <c r="K235" s="122"/>
      <c r="L235" s="122"/>
      <c r="M235" s="122"/>
      <c r="N235" s="122"/>
      <c r="O235" s="122"/>
      <c r="P235" s="122"/>
      <c r="Q235" s="123" t="e">
        <f>+R235/#REF!</f>
        <v>#REF!</v>
      </c>
      <c r="R235" s="124">
        <f>+R236+R257</f>
        <v>1735945173</v>
      </c>
      <c r="S235" s="124">
        <f>+S236+S257</f>
        <v>745945173</v>
      </c>
      <c r="T235" s="124">
        <f>+T236+T257</f>
        <v>300000000</v>
      </c>
      <c r="U235" s="124">
        <f>+U236+U257</f>
        <v>390000000</v>
      </c>
      <c r="V235" s="124">
        <f>+V236+V257</f>
        <v>300000000</v>
      </c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</row>
    <row r="236" spans="1:40" ht="12.4" customHeight="1" x14ac:dyDescent="0.25">
      <c r="A236" s="30">
        <v>4</v>
      </c>
      <c r="B236" s="30">
        <v>3</v>
      </c>
      <c r="C236" s="30">
        <v>1</v>
      </c>
      <c r="D236" s="50" t="s">
        <v>38</v>
      </c>
      <c r="E236" s="50"/>
      <c r="F236" s="54" t="s">
        <v>463</v>
      </c>
      <c r="G236" s="57" t="s">
        <v>21</v>
      </c>
      <c r="H236" s="57" t="s">
        <v>18</v>
      </c>
      <c r="I236" s="134"/>
      <c r="J236" s="134"/>
      <c r="K236" s="140">
        <v>0.25</v>
      </c>
      <c r="L236" s="140">
        <v>0.25</v>
      </c>
      <c r="M236" s="140">
        <v>0.25</v>
      </c>
      <c r="N236" s="140">
        <v>0.25</v>
      </c>
      <c r="O236" s="140">
        <v>0</v>
      </c>
      <c r="P236" s="140">
        <v>1</v>
      </c>
      <c r="Q236" s="61" t="e">
        <f>+R236/#REF!</f>
        <v>#REF!</v>
      </c>
      <c r="R236" s="53">
        <f>+SUM(S236:V236)</f>
        <v>1735945173</v>
      </c>
      <c r="S236" s="59">
        <v>745945173</v>
      </c>
      <c r="T236" s="59">
        <v>300000000</v>
      </c>
      <c r="U236" s="59">
        <v>390000000</v>
      </c>
      <c r="V236" s="59">
        <v>300000000</v>
      </c>
    </row>
    <row r="237" spans="1:40" ht="12.4" customHeight="1" x14ac:dyDescent="0.25">
      <c r="A237" s="30">
        <v>4</v>
      </c>
      <c r="B237" s="30">
        <v>3</v>
      </c>
      <c r="C237" s="30">
        <v>1</v>
      </c>
      <c r="D237" s="136" t="s">
        <v>28</v>
      </c>
      <c r="E237" s="136"/>
      <c r="F237" s="54" t="s">
        <v>464</v>
      </c>
      <c r="G237" s="57" t="s">
        <v>21</v>
      </c>
      <c r="H237" s="134"/>
      <c r="I237" s="134"/>
      <c r="J237" s="134"/>
      <c r="K237" s="140">
        <v>0.8</v>
      </c>
      <c r="L237" s="140">
        <v>0.8</v>
      </c>
      <c r="M237" s="140">
        <v>0.8</v>
      </c>
      <c r="N237" s="140">
        <v>0.8</v>
      </c>
      <c r="O237" s="140">
        <v>0.2</v>
      </c>
      <c r="P237" s="140">
        <v>0.8</v>
      </c>
      <c r="Q237" s="61" t="e">
        <f>+R237/#REF!</f>
        <v>#REF!</v>
      </c>
      <c r="R237" s="53">
        <f>+SUM(S237:V237)</f>
        <v>412882797</v>
      </c>
      <c r="S237" s="59">
        <v>82882797</v>
      </c>
      <c r="T237" s="59">
        <v>100000000</v>
      </c>
      <c r="U237" s="59">
        <v>110000000</v>
      </c>
      <c r="V237" s="59">
        <v>120000000</v>
      </c>
    </row>
    <row r="238" spans="1:40" ht="12.4" customHeight="1" x14ac:dyDescent="0.25">
      <c r="A238" s="30">
        <v>4</v>
      </c>
      <c r="B238" s="30">
        <v>3</v>
      </c>
      <c r="C238" s="30">
        <v>1</v>
      </c>
      <c r="D238" s="135"/>
      <c r="E238" s="135"/>
      <c r="F238" s="54" t="s">
        <v>465</v>
      </c>
      <c r="G238" s="57" t="s">
        <v>17</v>
      </c>
      <c r="H238" s="134"/>
      <c r="I238" s="134"/>
      <c r="J238" s="134"/>
      <c r="K238" s="160">
        <v>4</v>
      </c>
      <c r="L238" s="160">
        <v>1</v>
      </c>
      <c r="M238" s="160">
        <v>0.05</v>
      </c>
      <c r="N238" s="160">
        <v>0.05</v>
      </c>
      <c r="O238" s="160">
        <v>1</v>
      </c>
      <c r="P238" s="160">
        <v>6.1</v>
      </c>
      <c r="Q238" s="61"/>
      <c r="R238" s="53"/>
      <c r="S238" s="59"/>
      <c r="T238" s="59"/>
      <c r="U238" s="59"/>
      <c r="V238" s="59"/>
    </row>
    <row r="239" spans="1:40" ht="12.4" customHeight="1" x14ac:dyDescent="0.25">
      <c r="A239" s="30">
        <v>4</v>
      </c>
      <c r="B239" s="30">
        <v>3</v>
      </c>
      <c r="C239" s="30">
        <v>1</v>
      </c>
      <c r="D239" s="135"/>
      <c r="E239" s="135"/>
      <c r="F239" s="54" t="s">
        <v>466</v>
      </c>
      <c r="G239" s="57" t="s">
        <v>17</v>
      </c>
      <c r="H239" s="134"/>
      <c r="I239" s="134"/>
      <c r="J239" s="134"/>
      <c r="K239" s="57">
        <v>0</v>
      </c>
      <c r="L239" s="57">
        <v>6000</v>
      </c>
      <c r="M239" s="57">
        <v>4800</v>
      </c>
      <c r="N239" s="57">
        <v>5000</v>
      </c>
      <c r="O239" s="57">
        <v>5000</v>
      </c>
      <c r="P239" s="57">
        <v>20800</v>
      </c>
      <c r="Q239" s="61"/>
      <c r="R239" s="53"/>
      <c r="S239" s="59"/>
      <c r="T239" s="59"/>
      <c r="U239" s="59"/>
      <c r="V239" s="59"/>
    </row>
    <row r="240" spans="1:40" ht="12.4" customHeight="1" x14ac:dyDescent="0.25">
      <c r="A240" s="30">
        <v>4</v>
      </c>
      <c r="B240" s="30">
        <v>3</v>
      </c>
      <c r="C240" s="30">
        <v>1</v>
      </c>
      <c r="D240" s="135"/>
      <c r="E240" s="135"/>
      <c r="F240" s="54" t="s">
        <v>467</v>
      </c>
      <c r="G240" s="57" t="s">
        <v>17</v>
      </c>
      <c r="H240" s="134"/>
      <c r="I240" s="134"/>
      <c r="J240" s="134"/>
      <c r="K240" s="57">
        <v>726</v>
      </c>
      <c r="L240" s="57">
        <v>1110</v>
      </c>
      <c r="M240" s="57">
        <v>11200</v>
      </c>
      <c r="N240" s="57">
        <v>0</v>
      </c>
      <c r="O240" s="57">
        <v>10000</v>
      </c>
      <c r="P240" s="57">
        <v>23036</v>
      </c>
      <c r="Q240" s="61"/>
      <c r="R240" s="53"/>
      <c r="S240" s="59"/>
      <c r="T240" s="59"/>
      <c r="U240" s="59"/>
      <c r="V240" s="59"/>
    </row>
    <row r="241" spans="1:40" ht="12.4" customHeight="1" x14ac:dyDescent="0.25">
      <c r="A241" s="30">
        <v>4</v>
      </c>
      <c r="B241" s="30">
        <v>3</v>
      </c>
      <c r="C241" s="30">
        <v>1</v>
      </c>
      <c r="D241" s="135"/>
      <c r="E241" s="135"/>
      <c r="F241" s="54" t="s">
        <v>468</v>
      </c>
      <c r="G241" s="57" t="s">
        <v>17</v>
      </c>
      <c r="H241" s="134"/>
      <c r="I241" s="134"/>
      <c r="J241" s="134"/>
      <c r="K241" s="140">
        <v>0.8</v>
      </c>
      <c r="L241" s="140">
        <v>0.8</v>
      </c>
      <c r="M241" s="140">
        <v>0.8</v>
      </c>
      <c r="N241" s="140">
        <v>0.8</v>
      </c>
      <c r="O241" s="140">
        <v>0.2</v>
      </c>
      <c r="P241" s="140">
        <v>0.8</v>
      </c>
      <c r="Q241" s="61"/>
      <c r="R241" s="53"/>
      <c r="S241" s="59"/>
      <c r="T241" s="59"/>
      <c r="U241" s="59"/>
      <c r="V241" s="59"/>
    </row>
    <row r="242" spans="1:40" ht="12.4" customHeight="1" x14ac:dyDescent="0.25">
      <c r="A242" s="30">
        <v>4</v>
      </c>
      <c r="B242" s="30">
        <v>3</v>
      </c>
      <c r="C242" s="30">
        <v>1</v>
      </c>
      <c r="D242" s="135"/>
      <c r="E242" s="135"/>
      <c r="F242" s="54" t="s">
        <v>469</v>
      </c>
      <c r="G242" s="57" t="s">
        <v>17</v>
      </c>
      <c r="H242" s="134"/>
      <c r="I242" s="134"/>
      <c r="J242" s="134"/>
      <c r="K242" s="140">
        <v>0.95</v>
      </c>
      <c r="L242" s="140">
        <v>0.95</v>
      </c>
      <c r="M242" s="140">
        <v>0.95</v>
      </c>
      <c r="N242" s="140">
        <v>0.95</v>
      </c>
      <c r="O242" s="140">
        <v>0.3</v>
      </c>
      <c r="P242" s="140">
        <v>0.95</v>
      </c>
      <c r="Q242" s="61"/>
      <c r="R242" s="53"/>
      <c r="S242" s="59"/>
      <c r="T242" s="59"/>
      <c r="U242" s="59"/>
      <c r="V242" s="59"/>
    </row>
    <row r="243" spans="1:40" ht="12.4" customHeight="1" x14ac:dyDescent="0.25">
      <c r="A243" s="30"/>
      <c r="B243" s="30"/>
      <c r="C243" s="30"/>
      <c r="D243" s="50"/>
      <c r="E243" s="50"/>
      <c r="F243" s="54"/>
      <c r="G243" s="57"/>
      <c r="H243" s="57"/>
      <c r="I243" s="57"/>
      <c r="J243" s="57"/>
      <c r="K243" s="60"/>
      <c r="L243" s="60"/>
      <c r="M243" s="60"/>
      <c r="N243" s="60"/>
      <c r="O243" s="60"/>
      <c r="P243" s="60"/>
      <c r="Q243" s="61"/>
      <c r="R243" s="53"/>
      <c r="S243" s="59"/>
      <c r="T243" s="59"/>
      <c r="U243" s="59"/>
      <c r="V243" s="59"/>
    </row>
    <row r="244" spans="1:40" s="173" customFormat="1" ht="12.4" customHeight="1" x14ac:dyDescent="0.25">
      <c r="A244" s="119">
        <v>4</v>
      </c>
      <c r="B244" s="119">
        <v>3</v>
      </c>
      <c r="C244" s="119">
        <v>2</v>
      </c>
      <c r="D244" s="120" t="s">
        <v>253</v>
      </c>
      <c r="E244" s="120"/>
      <c r="F244" s="121" t="s">
        <v>470</v>
      </c>
      <c r="G244" s="119"/>
      <c r="H244" s="119"/>
      <c r="I244" s="119"/>
      <c r="J244" s="119"/>
      <c r="K244" s="122"/>
      <c r="L244" s="122"/>
      <c r="M244" s="122"/>
      <c r="N244" s="122"/>
      <c r="O244" s="122"/>
      <c r="P244" s="122"/>
      <c r="Q244" s="123" t="e">
        <f>+R244/#REF!</f>
        <v>#REF!</v>
      </c>
      <c r="R244" s="124">
        <f>+R245+R260</f>
        <v>1735945173</v>
      </c>
      <c r="S244" s="124">
        <f>+S245+S260</f>
        <v>745945173</v>
      </c>
      <c r="T244" s="124">
        <f>+T245+T260</f>
        <v>300000000</v>
      </c>
      <c r="U244" s="124">
        <f>+U245+U260</f>
        <v>390000000</v>
      </c>
      <c r="V244" s="124">
        <f>+V245+V260</f>
        <v>300000000</v>
      </c>
      <c r="W244" s="174"/>
      <c r="X244" s="174"/>
      <c r="Y244" s="174"/>
      <c r="Z244" s="174"/>
      <c r="AA244" s="174"/>
      <c r="AB244" s="174"/>
      <c r="AC244" s="174"/>
      <c r="AD244" s="174"/>
      <c r="AE244" s="174"/>
      <c r="AF244" s="174"/>
      <c r="AG244" s="174"/>
      <c r="AH244" s="174"/>
      <c r="AI244" s="174"/>
      <c r="AJ244" s="174"/>
      <c r="AK244" s="174"/>
      <c r="AL244" s="174"/>
      <c r="AM244" s="174"/>
      <c r="AN244" s="174"/>
    </row>
    <row r="245" spans="1:40" ht="12.4" customHeight="1" x14ac:dyDescent="0.25">
      <c r="A245" s="30">
        <v>4</v>
      </c>
      <c r="B245" s="30">
        <v>3</v>
      </c>
      <c r="C245" s="30">
        <v>2</v>
      </c>
      <c r="D245" s="135"/>
      <c r="E245" s="135"/>
      <c r="F245" s="54" t="s">
        <v>271</v>
      </c>
      <c r="G245" s="57" t="s">
        <v>17</v>
      </c>
      <c r="H245" s="134"/>
      <c r="I245" s="134"/>
      <c r="J245" s="134"/>
      <c r="K245" s="160">
        <v>0</v>
      </c>
      <c r="L245" s="160">
        <v>1</v>
      </c>
      <c r="M245" s="160">
        <v>1</v>
      </c>
      <c r="N245" s="160">
        <v>2</v>
      </c>
      <c r="O245" s="160">
        <v>1</v>
      </c>
      <c r="P245" s="160">
        <f>SUM(K245:O245)</f>
        <v>5</v>
      </c>
      <c r="Q245" s="61" t="e">
        <f>+R245/#REF!</f>
        <v>#REF!</v>
      </c>
      <c r="R245" s="53">
        <f>+SUM(S245:V245)</f>
        <v>1735945173</v>
      </c>
      <c r="S245" s="59">
        <v>745945173</v>
      </c>
      <c r="T245" s="59">
        <v>300000000</v>
      </c>
      <c r="U245" s="59">
        <v>390000000</v>
      </c>
      <c r="V245" s="59">
        <v>300000000</v>
      </c>
    </row>
    <row r="246" spans="1:40" ht="12.4" customHeight="1" x14ac:dyDescent="0.25">
      <c r="A246" s="30">
        <v>4</v>
      </c>
      <c r="B246" s="30">
        <v>3</v>
      </c>
      <c r="C246" s="30">
        <v>2</v>
      </c>
      <c r="D246" s="135"/>
      <c r="E246" s="135"/>
      <c r="F246" s="54" t="s">
        <v>272</v>
      </c>
      <c r="G246" s="57" t="s">
        <v>17</v>
      </c>
      <c r="H246" s="134"/>
      <c r="I246" s="134"/>
      <c r="J246" s="134"/>
      <c r="K246" s="161">
        <v>0</v>
      </c>
      <c r="L246" s="161">
        <v>0</v>
      </c>
      <c r="M246" s="161">
        <v>0</v>
      </c>
      <c r="N246" s="161">
        <v>0.5</v>
      </c>
      <c r="O246" s="161">
        <v>0.5</v>
      </c>
      <c r="P246" s="140">
        <v>1</v>
      </c>
      <c r="Q246" s="61" t="e">
        <f>+R246/#REF!</f>
        <v>#REF!</v>
      </c>
      <c r="R246" s="53">
        <f>+SUM(S246:V246)</f>
        <v>412882797</v>
      </c>
      <c r="S246" s="59">
        <v>82882797</v>
      </c>
      <c r="T246" s="59">
        <v>100000000</v>
      </c>
      <c r="U246" s="59">
        <v>110000000</v>
      </c>
      <c r="V246" s="59">
        <v>120000000</v>
      </c>
    </row>
    <row r="247" spans="1:40" s="173" customFormat="1" ht="12.4" customHeight="1" x14ac:dyDescent="0.25">
      <c r="A247" s="119">
        <v>4</v>
      </c>
      <c r="B247" s="119">
        <v>3</v>
      </c>
      <c r="C247" s="119">
        <v>3</v>
      </c>
      <c r="D247" s="120" t="s">
        <v>253</v>
      </c>
      <c r="E247" s="120"/>
      <c r="F247" s="121" t="s">
        <v>471</v>
      </c>
      <c r="G247" s="119"/>
      <c r="H247" s="119"/>
      <c r="I247" s="119"/>
      <c r="J247" s="119"/>
      <c r="K247" s="122"/>
      <c r="L247" s="122"/>
      <c r="M247" s="122"/>
      <c r="N247" s="122"/>
      <c r="O247" s="122"/>
      <c r="P247" s="122"/>
      <c r="Q247" s="123" t="e">
        <f>+R247/#REF!</f>
        <v>#REF!</v>
      </c>
      <c r="R247" s="124">
        <f>+R248+R263</f>
        <v>1735945173</v>
      </c>
      <c r="S247" s="124">
        <f>+S248+S263</f>
        <v>745945173</v>
      </c>
      <c r="T247" s="124">
        <f>+T248+T263</f>
        <v>300000000</v>
      </c>
      <c r="U247" s="124">
        <f>+U248+U263</f>
        <v>390000000</v>
      </c>
      <c r="V247" s="124">
        <f>+V248+V263</f>
        <v>300000000</v>
      </c>
      <c r="W247" s="174"/>
      <c r="X247" s="174"/>
      <c r="Y247" s="174"/>
      <c r="Z247" s="174"/>
      <c r="AA247" s="174"/>
      <c r="AB247" s="174"/>
      <c r="AC247" s="174"/>
      <c r="AD247" s="174"/>
      <c r="AE247" s="174"/>
      <c r="AF247" s="174"/>
      <c r="AG247" s="174"/>
      <c r="AH247" s="174"/>
      <c r="AI247" s="174"/>
      <c r="AJ247" s="174"/>
      <c r="AK247" s="174"/>
      <c r="AL247" s="174"/>
      <c r="AM247" s="174"/>
      <c r="AN247" s="174"/>
    </row>
    <row r="248" spans="1:40" ht="12.4" customHeight="1" x14ac:dyDescent="0.25">
      <c r="A248" s="30">
        <v>4</v>
      </c>
      <c r="B248" s="30">
        <v>3</v>
      </c>
      <c r="C248" s="30">
        <v>3</v>
      </c>
      <c r="D248" s="135"/>
      <c r="E248" s="135"/>
      <c r="F248" s="54" t="s">
        <v>273</v>
      </c>
      <c r="G248" s="57" t="s">
        <v>17</v>
      </c>
      <c r="H248" s="134" t="s">
        <v>472</v>
      </c>
      <c r="I248" s="134"/>
      <c r="J248" s="134"/>
      <c r="K248" s="140">
        <v>0.1</v>
      </c>
      <c r="L248" s="140">
        <v>0.25</v>
      </c>
      <c r="M248" s="140">
        <v>0.5</v>
      </c>
      <c r="N248" s="140">
        <v>0.85</v>
      </c>
      <c r="O248" s="140">
        <v>1</v>
      </c>
      <c r="P248" s="140">
        <v>1</v>
      </c>
      <c r="Q248" s="61" t="e">
        <f>+R248/#REF!</f>
        <v>#REF!</v>
      </c>
      <c r="R248" s="53">
        <f>+SUM(S248:V248)</f>
        <v>1735945173</v>
      </c>
      <c r="S248" s="59">
        <v>745945173</v>
      </c>
      <c r="T248" s="59">
        <v>300000000</v>
      </c>
      <c r="U248" s="59">
        <v>390000000</v>
      </c>
      <c r="V248" s="59">
        <v>300000000</v>
      </c>
    </row>
    <row r="249" spans="1:40" ht="12.4" customHeight="1" x14ac:dyDescent="0.25">
      <c r="A249" s="30"/>
      <c r="B249" s="30"/>
      <c r="C249" s="30"/>
      <c r="D249" s="50"/>
      <c r="E249" s="50"/>
      <c r="F249" s="54"/>
      <c r="G249" s="57"/>
      <c r="H249" s="57"/>
      <c r="I249" s="57"/>
      <c r="J249" s="57"/>
      <c r="K249" s="60"/>
      <c r="L249" s="60"/>
      <c r="M249" s="60"/>
      <c r="N249" s="60"/>
      <c r="O249" s="60"/>
      <c r="P249" s="60"/>
      <c r="Q249" s="61" t="e">
        <f>+R249/#REF!</f>
        <v>#REF!</v>
      </c>
      <c r="R249" s="53">
        <f>+SUM(S249:V249)</f>
        <v>412882797</v>
      </c>
      <c r="S249" s="59">
        <v>82882797</v>
      </c>
      <c r="T249" s="59">
        <v>100000000</v>
      </c>
      <c r="U249" s="59">
        <v>110000000</v>
      </c>
      <c r="V249" s="59">
        <v>120000000</v>
      </c>
    </row>
    <row r="250" spans="1:40" ht="12.4" customHeight="1" x14ac:dyDescent="0.25">
      <c r="A250" s="119">
        <v>4</v>
      </c>
      <c r="B250" s="119">
        <v>3</v>
      </c>
      <c r="C250" s="119">
        <v>4</v>
      </c>
      <c r="D250" s="120" t="s">
        <v>253</v>
      </c>
      <c r="E250" s="120"/>
      <c r="F250" s="121" t="s">
        <v>473</v>
      </c>
      <c r="G250" s="119"/>
      <c r="H250" s="119"/>
      <c r="I250" s="119"/>
      <c r="J250" s="119"/>
      <c r="K250" s="122"/>
      <c r="L250" s="122"/>
      <c r="M250" s="122"/>
      <c r="N250" s="122"/>
      <c r="O250" s="122"/>
      <c r="P250" s="122"/>
      <c r="Q250" s="123" t="e">
        <f>+R250/#REF!</f>
        <v>#REF!</v>
      </c>
      <c r="R250" s="124">
        <f>+R251+R266</f>
        <v>1735945173</v>
      </c>
      <c r="S250" s="124">
        <f>+S251+S266</f>
        <v>745945173</v>
      </c>
      <c r="T250" s="124">
        <f>+T251+T266</f>
        <v>300000000</v>
      </c>
      <c r="U250" s="124">
        <f>+U251+U266</f>
        <v>390000000</v>
      </c>
      <c r="V250" s="124">
        <f>+V251+V266</f>
        <v>300000000</v>
      </c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</row>
    <row r="251" spans="1:40" ht="12" customHeight="1" x14ac:dyDescent="0.25">
      <c r="A251" s="30">
        <v>4</v>
      </c>
      <c r="B251" s="30">
        <v>3</v>
      </c>
      <c r="C251" s="30">
        <v>4</v>
      </c>
      <c r="D251" s="136" t="s">
        <v>28</v>
      </c>
      <c r="E251" s="136"/>
      <c r="F251" s="54" t="s">
        <v>474</v>
      </c>
      <c r="G251" s="57" t="s">
        <v>21</v>
      </c>
      <c r="H251" s="57" t="s">
        <v>22</v>
      </c>
      <c r="I251" s="134"/>
      <c r="J251" s="134"/>
      <c r="K251" s="57">
        <v>90</v>
      </c>
      <c r="L251" s="57">
        <v>90</v>
      </c>
      <c r="M251" s="57">
        <v>90</v>
      </c>
      <c r="N251" s="57">
        <v>90</v>
      </c>
      <c r="O251" s="57">
        <v>0</v>
      </c>
      <c r="P251" s="57">
        <v>90</v>
      </c>
      <c r="Q251" s="61" t="e">
        <f>+R251/#REF!</f>
        <v>#REF!</v>
      </c>
      <c r="R251" s="53">
        <f>+SUM(S251:V251)</f>
        <v>1735945173</v>
      </c>
      <c r="S251" s="59">
        <v>745945173</v>
      </c>
      <c r="T251" s="59">
        <v>300000000</v>
      </c>
      <c r="U251" s="59">
        <v>390000000</v>
      </c>
      <c r="V251" s="59">
        <v>300000000</v>
      </c>
    </row>
    <row r="252" spans="1:40" ht="12" customHeight="1" x14ac:dyDescent="0.25">
      <c r="A252" s="30">
        <v>4</v>
      </c>
      <c r="B252" s="30">
        <v>3</v>
      </c>
      <c r="C252" s="30">
        <v>4</v>
      </c>
      <c r="D252" s="136" t="s">
        <v>28</v>
      </c>
      <c r="E252" s="136"/>
      <c r="F252" s="54" t="s">
        <v>475</v>
      </c>
      <c r="G252" s="57" t="s">
        <v>21</v>
      </c>
      <c r="H252" s="57" t="s">
        <v>22</v>
      </c>
      <c r="I252" s="134"/>
      <c r="J252" s="134"/>
      <c r="K252" s="57">
        <v>100</v>
      </c>
      <c r="L252" s="57">
        <v>100</v>
      </c>
      <c r="M252" s="57">
        <v>100</v>
      </c>
      <c r="N252" s="57">
        <v>100</v>
      </c>
      <c r="O252" s="57">
        <v>100</v>
      </c>
      <c r="P252" s="57">
        <v>100</v>
      </c>
      <c r="Q252" s="61" t="e">
        <f>+R252/#REF!</f>
        <v>#REF!</v>
      </c>
      <c r="R252" s="53">
        <f>+SUM(S252:V252)</f>
        <v>412882797</v>
      </c>
      <c r="S252" s="59">
        <v>82882797</v>
      </c>
      <c r="T252" s="59">
        <v>100000000</v>
      </c>
      <c r="U252" s="59">
        <v>110000000</v>
      </c>
      <c r="V252" s="59">
        <v>120000000</v>
      </c>
    </row>
    <row r="253" spans="1:40" ht="12" customHeight="1" x14ac:dyDescent="0.25">
      <c r="A253" s="30">
        <v>4</v>
      </c>
      <c r="B253" s="30">
        <v>3</v>
      </c>
      <c r="C253" s="30">
        <v>4</v>
      </c>
      <c r="D253" s="136" t="s">
        <v>28</v>
      </c>
      <c r="E253" s="136"/>
      <c r="F253" s="54" t="s">
        <v>476</v>
      </c>
      <c r="G253" s="57" t="s">
        <v>21</v>
      </c>
      <c r="H253" s="57" t="s">
        <v>22</v>
      </c>
      <c r="I253" s="134"/>
      <c r="J253" s="134"/>
      <c r="K253" s="57">
        <v>90</v>
      </c>
      <c r="L253" s="57">
        <v>90</v>
      </c>
      <c r="M253" s="57">
        <v>90</v>
      </c>
      <c r="N253" s="57">
        <v>90</v>
      </c>
      <c r="O253" s="57">
        <v>0</v>
      </c>
      <c r="P253" s="57">
        <v>90</v>
      </c>
      <c r="Q253" s="57"/>
      <c r="R253" s="57"/>
      <c r="S253" s="57"/>
      <c r="T253" s="57"/>
      <c r="U253" s="57"/>
      <c r="V253" s="57"/>
    </row>
    <row r="254" spans="1:40" ht="12" customHeight="1" x14ac:dyDescent="0.25">
      <c r="A254" s="30">
        <v>4</v>
      </c>
      <c r="B254" s="30">
        <v>3</v>
      </c>
      <c r="C254" s="30">
        <v>4</v>
      </c>
      <c r="D254" s="136" t="s">
        <v>28</v>
      </c>
      <c r="E254" s="136"/>
      <c r="F254" s="54" t="s">
        <v>477</v>
      </c>
      <c r="G254" s="57" t="s">
        <v>21</v>
      </c>
      <c r="H254" s="57" t="s">
        <v>22</v>
      </c>
      <c r="I254" s="134"/>
      <c r="J254" s="134"/>
      <c r="K254" s="57">
        <v>90</v>
      </c>
      <c r="L254" s="57">
        <v>90</v>
      </c>
      <c r="M254" s="57">
        <v>90</v>
      </c>
      <c r="N254" s="57">
        <v>90</v>
      </c>
      <c r="O254" s="57">
        <v>0</v>
      </c>
      <c r="P254" s="57">
        <v>90</v>
      </c>
      <c r="Q254" s="57"/>
      <c r="R254" s="57"/>
      <c r="S254" s="57"/>
      <c r="T254" s="57"/>
      <c r="U254" s="57"/>
      <c r="V254" s="57"/>
    </row>
    <row r="255" spans="1:40" ht="12" customHeight="1" x14ac:dyDescent="0.25">
      <c r="A255" s="30">
        <v>4</v>
      </c>
      <c r="B255" s="30">
        <v>3</v>
      </c>
      <c r="C255" s="30">
        <v>4</v>
      </c>
      <c r="D255" s="136" t="s">
        <v>28</v>
      </c>
      <c r="E255" s="136"/>
      <c r="F255" s="54" t="s">
        <v>259</v>
      </c>
      <c r="G255" s="57" t="s">
        <v>21</v>
      </c>
      <c r="H255" s="57" t="s">
        <v>22</v>
      </c>
      <c r="I255" s="134"/>
      <c r="J255" s="134"/>
      <c r="K255" s="57">
        <v>90</v>
      </c>
      <c r="L255" s="57">
        <v>90</v>
      </c>
      <c r="M255" s="57">
        <v>90</v>
      </c>
      <c r="N255" s="57">
        <v>90</v>
      </c>
      <c r="O255" s="57">
        <v>0</v>
      </c>
      <c r="P255" s="57">
        <v>90</v>
      </c>
      <c r="Q255" s="57"/>
      <c r="R255" s="57"/>
      <c r="S255" s="57"/>
      <c r="T255" s="57"/>
      <c r="U255" s="57"/>
      <c r="V255" s="57"/>
    </row>
    <row r="256" spans="1:40" ht="12" customHeight="1" x14ac:dyDescent="0.25">
      <c r="A256" s="30">
        <v>4</v>
      </c>
      <c r="B256" s="30">
        <v>3</v>
      </c>
      <c r="C256" s="30">
        <v>4</v>
      </c>
      <c r="D256" s="50" t="s">
        <v>38</v>
      </c>
      <c r="E256" s="50"/>
      <c r="F256" s="54" t="s">
        <v>244</v>
      </c>
      <c r="G256" s="57" t="s">
        <v>21</v>
      </c>
      <c r="H256" s="57" t="s">
        <v>22</v>
      </c>
      <c r="I256" s="134"/>
      <c r="J256" s="134"/>
      <c r="K256" s="57">
        <v>90</v>
      </c>
      <c r="L256" s="57">
        <v>90</v>
      </c>
      <c r="M256" s="57">
        <v>90</v>
      </c>
      <c r="N256" s="57">
        <v>90</v>
      </c>
      <c r="O256" s="57">
        <v>0</v>
      </c>
      <c r="P256" s="57">
        <v>90</v>
      </c>
      <c r="Q256" s="57"/>
      <c r="R256" s="57"/>
      <c r="S256" s="57"/>
      <c r="T256" s="57"/>
      <c r="U256" s="57"/>
      <c r="V256" s="57"/>
    </row>
    <row r="257" spans="1:22" ht="12" customHeight="1" x14ac:dyDescent="0.25">
      <c r="A257" s="30">
        <v>4</v>
      </c>
      <c r="B257" s="30">
        <v>3</v>
      </c>
      <c r="C257" s="30">
        <v>4</v>
      </c>
      <c r="D257" s="50" t="s">
        <v>38</v>
      </c>
      <c r="E257" s="50"/>
      <c r="F257" s="54" t="s">
        <v>478</v>
      </c>
      <c r="G257" s="57" t="s">
        <v>21</v>
      </c>
      <c r="H257" s="57" t="s">
        <v>22</v>
      </c>
      <c r="I257" s="134"/>
      <c r="J257" s="134"/>
      <c r="K257" s="57">
        <v>0</v>
      </c>
      <c r="L257" s="57">
        <v>30</v>
      </c>
      <c r="M257" s="57">
        <v>30</v>
      </c>
      <c r="N257" s="57">
        <v>30</v>
      </c>
      <c r="O257" s="57">
        <v>0</v>
      </c>
      <c r="P257" s="57">
        <v>90</v>
      </c>
      <c r="Q257" s="57"/>
      <c r="R257" s="57"/>
      <c r="S257" s="57"/>
      <c r="T257" s="57"/>
      <c r="U257" s="57"/>
      <c r="V257" s="57"/>
    </row>
  </sheetData>
  <protectedRanges>
    <protectedRange algorithmName="SHA-512" hashValue="THF5kL+QVwGqfEvAGLNGAdVHFzYHFxDYxuxhF8zGJ+WsV/akkN+3jHx4892hF/cCpllFRQZpOz9QCz6LaBLXXQ==" saltValue="55UmbU92hd+Rx+5x4aQbBw==" spinCount="100000" sqref="S50:S51 S11 S14:S16 S20 S22:S25 S81 S40:S43 S32:S33 S106:S107 J8:P8 S27:S29 S103:S104 S53:S55 S64:S69 S57:S61 S72:S73 S45:S46 S77:S79 S89:S94 S83:S87 S111:S120 S122:S136 S36:S38" name="Rango1_3_1_1_2_1_1"/>
    <protectedRange algorithmName="SHA-512" hashValue="THF5kL+QVwGqfEvAGLNGAdVHFzYHFxDYxuxhF8zGJ+WsV/akkN+3jHx4892hF/cCpllFRQZpOz9QCz6LaBLXXQ==" saltValue="55UmbU92hd+Rx+5x4aQbBw==" spinCount="100000" sqref="H222" name="Rango1_9_1_1_2_3_1"/>
    <protectedRange algorithmName="SHA-512" hashValue="THF5kL+QVwGqfEvAGLNGAdVHFzYHFxDYxuxhF8zGJ+WsV/akkN+3jHx4892hF/cCpllFRQZpOz9QCz6LaBLXXQ==" saltValue="55UmbU92hd+Rx+5x4aQbBw==" spinCount="100000" sqref="T28:V28" name="Rango1_19_1_1_2_1_1"/>
    <protectedRange algorithmName="SHA-512" hashValue="THF5kL+QVwGqfEvAGLNGAdVHFzYHFxDYxuxhF8zGJ+WsV/akkN+3jHx4892hF/cCpllFRQZpOz9QCz6LaBLXXQ==" saltValue="55UmbU92hd+Rx+5x4aQbBw==" spinCount="100000" sqref="H8" name="Rango1_2_1"/>
    <protectedRange algorithmName="SHA-512" hashValue="THF5kL+QVwGqfEvAGLNGAdVHFzYHFxDYxuxhF8zGJ+WsV/akkN+3jHx4892hF/cCpllFRQZpOz9QCz6LaBLXXQ==" saltValue="55UmbU92hd+Rx+5x4aQbBw==" spinCount="100000" sqref="H6 K18:P18 J22:P22 J29:P29 T11:V11 K32:P33 H18 H10:H11 T15:V16 J11:P11 H13:H16 J14:P16" name="Rango1_3_1_1"/>
  </protectedRanges>
  <autoFilter ref="A3:V242" xr:uid="{00000000-0009-0000-0000-000000000000}"/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580A2-FB92-4BFC-86F5-5D52AB4024B9}">
  <dimension ref="A1:J107"/>
  <sheetViews>
    <sheetView topLeftCell="A12" zoomScale="90" zoomScaleNormal="90" workbookViewId="0">
      <selection activeCell="B25" sqref="B25"/>
    </sheetView>
  </sheetViews>
  <sheetFormatPr baseColWidth="10" defaultColWidth="11.42578125" defaultRowHeight="15" x14ac:dyDescent="0.25"/>
  <cols>
    <col min="1" max="1" width="40" customWidth="1"/>
    <col min="2" max="2" width="60.42578125" customWidth="1"/>
    <col min="3" max="3" width="15.28515625" hidden="1" customWidth="1"/>
    <col min="4" max="4" width="19.140625" style="205" customWidth="1"/>
    <col min="5" max="8" width="19.140625" style="197" customWidth="1"/>
    <col min="9" max="9" width="19.7109375" style="197" customWidth="1"/>
    <col min="10" max="10" width="17.42578125" customWidth="1"/>
  </cols>
  <sheetData>
    <row r="1" spans="1:10" ht="15.75" thickBot="1" x14ac:dyDescent="0.3">
      <c r="A1" s="301" t="s">
        <v>479</v>
      </c>
      <c r="B1" s="301"/>
      <c r="C1" s="301"/>
      <c r="D1" s="301"/>
      <c r="E1" s="301"/>
      <c r="F1" s="301"/>
      <c r="G1" s="301"/>
      <c r="H1" s="301"/>
      <c r="I1" s="301"/>
    </row>
    <row r="3" spans="1:10" x14ac:dyDescent="0.25">
      <c r="A3" s="199"/>
      <c r="B3" s="199" t="s">
        <v>480</v>
      </c>
      <c r="C3" s="200" t="s">
        <v>481</v>
      </c>
      <c r="D3" s="200" t="s">
        <v>481</v>
      </c>
      <c r="E3" s="201" t="s">
        <v>482</v>
      </c>
      <c r="F3" s="201" t="s">
        <v>483</v>
      </c>
      <c r="G3" s="201" t="s">
        <v>484</v>
      </c>
      <c r="H3" s="201" t="s">
        <v>485</v>
      </c>
      <c r="I3" s="201" t="s">
        <v>486</v>
      </c>
    </row>
    <row r="4" spans="1:10" x14ac:dyDescent="0.25">
      <c r="A4" s="187" t="s">
        <v>487</v>
      </c>
      <c r="B4" s="304" t="s">
        <v>488</v>
      </c>
      <c r="C4" s="188">
        <v>0</v>
      </c>
      <c r="D4" s="189">
        <v>0</v>
      </c>
      <c r="E4" s="231">
        <v>0</v>
      </c>
      <c r="F4" s="189">
        <v>0</v>
      </c>
      <c r="G4" s="189">
        <v>0</v>
      </c>
      <c r="H4" s="189">
        <v>0</v>
      </c>
      <c r="I4" s="189">
        <f>D4+E4+F4+G4+H4</f>
        <v>0</v>
      </c>
    </row>
    <row r="5" spans="1:10" x14ac:dyDescent="0.25">
      <c r="A5" s="187" t="s">
        <v>489</v>
      </c>
      <c r="B5" s="304"/>
      <c r="C5" s="188">
        <v>0</v>
      </c>
      <c r="D5" s="189">
        <v>0</v>
      </c>
      <c r="E5" s="231">
        <v>0</v>
      </c>
      <c r="F5" s="189">
        <v>0</v>
      </c>
      <c r="G5" s="189">
        <v>0</v>
      </c>
      <c r="H5" s="189">
        <v>0</v>
      </c>
      <c r="I5" s="189">
        <f t="shared" ref="I5:I12" si="0">D5+E5+F5+G5+H5</f>
        <v>0</v>
      </c>
    </row>
    <row r="6" spans="1:10" x14ac:dyDescent="0.25">
      <c r="A6" s="187" t="s">
        <v>490</v>
      </c>
      <c r="B6" s="187" t="str">
        <f>[1]Doc_DiseñProg!$E$3</f>
        <v>1.1.2. Diseño de programas académicos en sus diferentes modalidades</v>
      </c>
      <c r="C6" s="188">
        <v>347472000</v>
      </c>
      <c r="D6" s="249">
        <v>347472000</v>
      </c>
      <c r="E6" s="249">
        <v>1780794000</v>
      </c>
      <c r="F6" s="249">
        <v>781812000</v>
      </c>
      <c r="G6" s="249">
        <v>57912000</v>
      </c>
      <c r="H6" s="249">
        <v>260604000</v>
      </c>
      <c r="I6" s="189">
        <f t="shared" si="0"/>
        <v>3228594000</v>
      </c>
    </row>
    <row r="7" spans="1:10" x14ac:dyDescent="0.25">
      <c r="A7" s="187" t="s">
        <v>491</v>
      </c>
      <c r="B7" s="304" t="s">
        <v>492</v>
      </c>
      <c r="C7" s="188">
        <v>210200856</v>
      </c>
      <c r="D7" s="249">
        <v>210200856</v>
      </c>
      <c r="E7" s="249">
        <v>231220941.60000002</v>
      </c>
      <c r="F7" s="249">
        <v>254343035.76000005</v>
      </c>
      <c r="G7" s="249">
        <v>279777339.33600008</v>
      </c>
      <c r="H7" s="249">
        <v>307755073.26960009</v>
      </c>
      <c r="I7" s="189">
        <f t="shared" si="0"/>
        <v>1283297245.9656003</v>
      </c>
    </row>
    <row r="8" spans="1:10" x14ac:dyDescent="0.25">
      <c r="A8" s="190" t="s">
        <v>493</v>
      </c>
      <c r="B8" s="304"/>
      <c r="C8" s="188">
        <v>72390000</v>
      </c>
      <c r="D8" s="249">
        <v>72390000</v>
      </c>
      <c r="E8" s="249">
        <v>72390000</v>
      </c>
      <c r="F8" s="249">
        <v>72390000</v>
      </c>
      <c r="G8" s="249">
        <v>72390000</v>
      </c>
      <c r="H8" s="249">
        <v>0</v>
      </c>
      <c r="I8" s="189">
        <f t="shared" si="0"/>
        <v>289560000</v>
      </c>
    </row>
    <row r="9" spans="1:10" x14ac:dyDescent="0.25">
      <c r="A9" s="190" t="s">
        <v>494</v>
      </c>
      <c r="B9" s="304"/>
      <c r="C9" s="188">
        <v>0</v>
      </c>
      <c r="D9" s="249">
        <v>0</v>
      </c>
      <c r="E9" s="249">
        <v>0</v>
      </c>
      <c r="F9" s="249">
        <v>0</v>
      </c>
      <c r="G9" s="249">
        <v>0</v>
      </c>
      <c r="H9" s="249">
        <v>0</v>
      </c>
      <c r="I9" s="189">
        <f t="shared" si="0"/>
        <v>0</v>
      </c>
    </row>
    <row r="10" spans="1:10" x14ac:dyDescent="0.25">
      <c r="A10" s="192" t="s">
        <v>495</v>
      </c>
      <c r="B10" s="211" t="s">
        <v>496</v>
      </c>
      <c r="C10" s="209">
        <v>8000000</v>
      </c>
      <c r="D10" s="250">
        <v>8000000</v>
      </c>
      <c r="E10" s="250">
        <v>8000000</v>
      </c>
      <c r="F10" s="250">
        <v>8000000</v>
      </c>
      <c r="G10" s="250">
        <v>12000000</v>
      </c>
      <c r="H10" s="250">
        <v>8000000</v>
      </c>
      <c r="I10" s="189">
        <f t="shared" si="0"/>
        <v>44000000</v>
      </c>
    </row>
    <row r="11" spans="1:10" x14ac:dyDescent="0.25">
      <c r="A11" s="187" t="s">
        <v>497</v>
      </c>
      <c r="B11" s="187" t="s">
        <v>498</v>
      </c>
      <c r="C11" s="188">
        <v>0</v>
      </c>
      <c r="D11" s="249">
        <v>0</v>
      </c>
      <c r="E11" s="249">
        <v>144780000</v>
      </c>
      <c r="F11" s="249">
        <v>144780000</v>
      </c>
      <c r="G11" s="249">
        <v>144780000</v>
      </c>
      <c r="H11" s="249">
        <v>144780000</v>
      </c>
      <c r="I11" s="189">
        <f t="shared" si="0"/>
        <v>579120000</v>
      </c>
    </row>
    <row r="12" spans="1:10" s="241" customFormat="1" x14ac:dyDescent="0.25">
      <c r="A12" s="236" t="s">
        <v>499</v>
      </c>
      <c r="B12" s="237" t="s">
        <v>500</v>
      </c>
      <c r="C12" s="238">
        <v>0</v>
      </c>
      <c r="D12" s="239">
        <v>0</v>
      </c>
      <c r="E12" s="240">
        <v>37102141911</v>
      </c>
      <c r="F12" s="240">
        <v>40960050267</v>
      </c>
      <c r="G12" s="240">
        <v>45755325793</v>
      </c>
      <c r="H12" s="240">
        <v>49614993534</v>
      </c>
      <c r="I12" s="239">
        <f t="shared" si="0"/>
        <v>173432511505</v>
      </c>
    </row>
    <row r="13" spans="1:10" x14ac:dyDescent="0.25">
      <c r="A13" s="186"/>
      <c r="B13" s="186" t="s">
        <v>501</v>
      </c>
      <c r="C13" s="193">
        <f t="shared" ref="C13:H13" si="1">SUM(C4:C12)</f>
        <v>638062856</v>
      </c>
      <c r="D13" s="194">
        <f>SUM(D4:D12)</f>
        <v>638062856</v>
      </c>
      <c r="E13" s="194">
        <f t="shared" si="1"/>
        <v>39339326852.599998</v>
      </c>
      <c r="F13" s="194">
        <f t="shared" si="1"/>
        <v>42221375302.760002</v>
      </c>
      <c r="G13" s="194">
        <f t="shared" si="1"/>
        <v>46322185132.335999</v>
      </c>
      <c r="H13" s="194">
        <f t="shared" si="1"/>
        <v>50336132607.2696</v>
      </c>
      <c r="I13" s="194">
        <f>SUM(I4:I12)</f>
        <v>178857082750.96561</v>
      </c>
    </row>
    <row r="15" spans="1:10" x14ac:dyDescent="0.25">
      <c r="A15" s="199"/>
      <c r="B15" s="199" t="s">
        <v>502</v>
      </c>
      <c r="C15" s="191"/>
      <c r="D15" s="200" t="s">
        <v>481</v>
      </c>
      <c r="E15" s="201" t="s">
        <v>482</v>
      </c>
      <c r="F15" s="201" t="s">
        <v>483</v>
      </c>
      <c r="G15" s="201" t="s">
        <v>484</v>
      </c>
      <c r="H15" s="201" t="s">
        <v>485</v>
      </c>
      <c r="I15" s="201" t="s">
        <v>486</v>
      </c>
    </row>
    <row r="16" spans="1:10" x14ac:dyDescent="0.25">
      <c r="A16" s="187" t="s">
        <v>503</v>
      </c>
      <c r="B16" s="187" t="s">
        <v>504</v>
      </c>
      <c r="C16" s="192" t="s">
        <v>17</v>
      </c>
      <c r="D16" s="248">
        <v>478000000</v>
      </c>
      <c r="E16" s="248">
        <v>551000000</v>
      </c>
      <c r="F16" s="248">
        <v>611610000</v>
      </c>
      <c r="G16" s="248">
        <v>678887100</v>
      </c>
      <c r="H16" s="248">
        <v>753564681</v>
      </c>
      <c r="I16" s="210">
        <f>D16+E16+F16+G16+H16</f>
        <v>3073061781</v>
      </c>
      <c r="J16" s="196"/>
    </row>
    <row r="17" spans="1:10" x14ac:dyDescent="0.25">
      <c r="A17" s="187" t="s">
        <v>505</v>
      </c>
      <c r="B17" s="187" t="s">
        <v>506</v>
      </c>
      <c r="C17" s="192" t="s">
        <v>17</v>
      </c>
      <c r="D17" s="248">
        <v>909181647</v>
      </c>
      <c r="E17" s="248">
        <v>1322310445</v>
      </c>
      <c r="F17" s="248">
        <v>1455787158</v>
      </c>
      <c r="G17" s="248">
        <v>1605161023</v>
      </c>
      <c r="H17" s="248">
        <v>1572327692</v>
      </c>
      <c r="I17" s="210">
        <f>D17+E17+F17+G17+H17</f>
        <v>6864767965</v>
      </c>
    </row>
    <row r="18" spans="1:10" x14ac:dyDescent="0.25">
      <c r="A18" s="186"/>
      <c r="B18" s="186" t="s">
        <v>501</v>
      </c>
      <c r="C18" s="193">
        <f ca="1">SUM(C25:C26)</f>
        <v>681493256</v>
      </c>
      <c r="D18" s="194">
        <f t="shared" ref="D18:I18" si="2">SUM(D16:D17)</f>
        <v>1387181647</v>
      </c>
      <c r="E18" s="194">
        <f t="shared" si="2"/>
        <v>1873310445</v>
      </c>
      <c r="F18" s="194">
        <f t="shared" si="2"/>
        <v>2067397158</v>
      </c>
      <c r="G18" s="194">
        <f t="shared" si="2"/>
        <v>2284048123</v>
      </c>
      <c r="H18" s="194">
        <f t="shared" si="2"/>
        <v>2325892373</v>
      </c>
      <c r="I18" s="194">
        <f t="shared" si="2"/>
        <v>9937829746</v>
      </c>
    </row>
    <row r="20" spans="1:10" x14ac:dyDescent="0.25">
      <c r="A20" s="199"/>
      <c r="B20" s="199" t="s">
        <v>507</v>
      </c>
      <c r="C20" s="191"/>
      <c r="D20" s="200" t="s">
        <v>481</v>
      </c>
      <c r="E20" s="201" t="s">
        <v>482</v>
      </c>
      <c r="F20" s="201" t="s">
        <v>483</v>
      </c>
      <c r="G20" s="201" t="s">
        <v>484</v>
      </c>
      <c r="H20" s="201" t="s">
        <v>485</v>
      </c>
      <c r="I20" s="201" t="s">
        <v>486</v>
      </c>
    </row>
    <row r="21" spans="1:10" x14ac:dyDescent="0.25">
      <c r="A21" s="192" t="s">
        <v>308</v>
      </c>
      <c r="B21" s="192" t="s">
        <v>508</v>
      </c>
      <c r="C21" s="192" t="s">
        <v>17</v>
      </c>
      <c r="D21" s="246">
        <v>1117000000</v>
      </c>
      <c r="E21" s="246">
        <v>479631360</v>
      </c>
      <c r="F21" s="247">
        <v>453201868</v>
      </c>
      <c r="G21" s="247">
        <v>514458017</v>
      </c>
      <c r="H21" s="247">
        <v>528614658</v>
      </c>
      <c r="I21" s="189">
        <f t="shared" ref="I21:I24" si="3">D21+E21+F21+G21+H21</f>
        <v>3092905903</v>
      </c>
      <c r="J21" s="196"/>
    </row>
    <row r="22" spans="1:10" x14ac:dyDescent="0.25">
      <c r="A22" s="192" t="s">
        <v>509</v>
      </c>
      <c r="B22" s="304" t="s">
        <v>510</v>
      </c>
      <c r="C22" s="192" t="s">
        <v>17</v>
      </c>
      <c r="D22" s="246">
        <v>728954400</v>
      </c>
      <c r="E22" s="246">
        <v>1178849840</v>
      </c>
      <c r="F22" s="246">
        <v>1309323322</v>
      </c>
      <c r="G22" s="246">
        <v>1440255654</v>
      </c>
      <c r="H22" s="246">
        <v>637890000</v>
      </c>
      <c r="I22" s="189">
        <f t="shared" si="3"/>
        <v>5295273216</v>
      </c>
      <c r="J22" s="196"/>
    </row>
    <row r="23" spans="1:10" x14ac:dyDescent="0.25">
      <c r="A23" s="192" t="s">
        <v>511</v>
      </c>
      <c r="B23" s="304"/>
      <c r="C23" s="192" t="s">
        <v>17</v>
      </c>
      <c r="D23" s="246">
        <v>450000000</v>
      </c>
      <c r="E23" s="246">
        <v>590476400</v>
      </c>
      <c r="F23" s="246">
        <v>579524000</v>
      </c>
      <c r="G23" s="246">
        <v>607476444</v>
      </c>
      <c r="H23" s="246">
        <v>207028560</v>
      </c>
      <c r="I23" s="189">
        <f t="shared" si="3"/>
        <v>2434505404</v>
      </c>
      <c r="J23" s="196"/>
    </row>
    <row r="24" spans="1:10" x14ac:dyDescent="0.25">
      <c r="A24" s="187" t="str">
        <f>[1]Doc_ArticEduMedia!$E$3</f>
        <v>1.1.6. Fortalecimiento de las estrategias de articulación de la educación media con la educación superior</v>
      </c>
      <c r="B24" s="211" t="s">
        <v>512</v>
      </c>
      <c r="C24" s="188">
        <v>43430400</v>
      </c>
      <c r="D24" s="195">
        <v>43430400</v>
      </c>
      <c r="E24" s="189">
        <v>115814400</v>
      </c>
      <c r="F24" s="189">
        <v>79622400</v>
      </c>
      <c r="G24" s="189">
        <v>79622400</v>
      </c>
      <c r="H24" s="189">
        <v>0</v>
      </c>
      <c r="I24" s="189">
        <f t="shared" si="3"/>
        <v>318489600</v>
      </c>
    </row>
    <row r="25" spans="1:10" x14ac:dyDescent="0.25">
      <c r="A25" s="186"/>
      <c r="B25" s="186" t="s">
        <v>501</v>
      </c>
      <c r="C25" s="193">
        <f ca="1">SUM(C12:C24)</f>
        <v>681493256</v>
      </c>
      <c r="D25" s="194">
        <f t="shared" ref="D25:I25" si="4">SUM(D21:D24)</f>
        <v>2339384800</v>
      </c>
      <c r="E25" s="194">
        <f t="shared" si="4"/>
        <v>2364772000</v>
      </c>
      <c r="F25" s="194">
        <f t="shared" si="4"/>
        <v>2421671590</v>
      </c>
      <c r="G25" s="194">
        <f t="shared" si="4"/>
        <v>2641812515</v>
      </c>
      <c r="H25" s="194">
        <f t="shared" si="4"/>
        <v>1373533218</v>
      </c>
      <c r="I25" s="194">
        <f t="shared" si="4"/>
        <v>11141174123</v>
      </c>
    </row>
    <row r="27" spans="1:10" s="215" customFormat="1" x14ac:dyDescent="0.25">
      <c r="A27" s="212"/>
      <c r="B27" s="212" t="s">
        <v>513</v>
      </c>
      <c r="C27" s="213"/>
      <c r="D27" s="214">
        <f t="shared" ref="D27:I27" si="5">D13+D25+D18</f>
        <v>4364629303</v>
      </c>
      <c r="E27" s="214">
        <f t="shared" si="5"/>
        <v>43577409297.599998</v>
      </c>
      <c r="F27" s="214">
        <f t="shared" si="5"/>
        <v>46710444050.760002</v>
      </c>
      <c r="G27" s="214">
        <f t="shared" si="5"/>
        <v>51248045770.335999</v>
      </c>
      <c r="H27" s="214">
        <f t="shared" si="5"/>
        <v>54035558198.2696</v>
      </c>
      <c r="I27" s="214">
        <f t="shared" si="5"/>
        <v>199936086619.96561</v>
      </c>
    </row>
    <row r="29" spans="1:10" x14ac:dyDescent="0.25">
      <c r="A29" s="305" t="s">
        <v>514</v>
      </c>
      <c r="B29" s="305"/>
      <c r="C29" s="305"/>
      <c r="D29" s="305"/>
      <c r="E29" s="305"/>
      <c r="F29" s="305"/>
      <c r="G29" s="305"/>
      <c r="H29" s="305"/>
      <c r="I29" s="305"/>
    </row>
    <row r="31" spans="1:10" x14ac:dyDescent="0.25">
      <c r="A31" s="202"/>
      <c r="B31" s="202" t="s">
        <v>515</v>
      </c>
      <c r="C31" s="203"/>
      <c r="D31" s="206" t="s">
        <v>481</v>
      </c>
      <c r="E31" s="204" t="s">
        <v>482</v>
      </c>
      <c r="F31" s="204" t="s">
        <v>483</v>
      </c>
      <c r="G31" s="204" t="s">
        <v>484</v>
      </c>
      <c r="H31" s="204" t="s">
        <v>485</v>
      </c>
      <c r="I31" s="204" t="s">
        <v>486</v>
      </c>
    </row>
    <row r="32" spans="1:10" x14ac:dyDescent="0.25">
      <c r="A32" s="192"/>
      <c r="B32" s="192" t="s">
        <v>516</v>
      </c>
      <c r="C32" s="192" t="s">
        <v>17</v>
      </c>
      <c r="D32" s="248">
        <v>240000000</v>
      </c>
      <c r="E32" s="248">
        <v>440000000</v>
      </c>
      <c r="F32" s="248">
        <v>540000000</v>
      </c>
      <c r="G32" s="248">
        <v>540000000</v>
      </c>
      <c r="H32" s="248">
        <v>135000000</v>
      </c>
      <c r="I32" s="195">
        <f t="shared" ref="I32:I34" si="6">D32+E32+F32+G32+H32</f>
        <v>1895000000</v>
      </c>
      <c r="J32" s="196"/>
    </row>
    <row r="33" spans="1:10" x14ac:dyDescent="0.25">
      <c r="A33" s="192"/>
      <c r="B33" s="187" t="s">
        <v>110</v>
      </c>
      <c r="C33" s="192" t="s">
        <v>17</v>
      </c>
      <c r="D33" s="248">
        <v>0</v>
      </c>
      <c r="E33" s="248">
        <v>350000000</v>
      </c>
      <c r="F33" s="248">
        <v>385000000.00000006</v>
      </c>
      <c r="G33" s="248">
        <v>423500000.00000012</v>
      </c>
      <c r="H33" s="248">
        <v>116462500.00000004</v>
      </c>
      <c r="I33" s="195">
        <f t="shared" si="6"/>
        <v>1274962500</v>
      </c>
      <c r="J33" s="196"/>
    </row>
    <row r="34" spans="1:10" x14ac:dyDescent="0.25">
      <c r="A34" s="192"/>
      <c r="B34" s="187" t="s">
        <v>517</v>
      </c>
      <c r="C34" s="192" t="s">
        <v>17</v>
      </c>
      <c r="D34" s="248">
        <v>340000000</v>
      </c>
      <c r="E34" s="248">
        <v>780000000</v>
      </c>
      <c r="F34" s="248">
        <v>850000000</v>
      </c>
      <c r="G34" s="248">
        <v>920000000</v>
      </c>
      <c r="H34" s="248">
        <v>195000000</v>
      </c>
      <c r="I34" s="195">
        <f t="shared" si="6"/>
        <v>3085000000</v>
      </c>
      <c r="J34" s="196"/>
    </row>
    <row r="35" spans="1:10" x14ac:dyDescent="0.25">
      <c r="A35" s="186"/>
      <c r="B35" s="186" t="s">
        <v>501</v>
      </c>
      <c r="C35" s="193">
        <f ca="1">SUM(C22:C34)</f>
        <v>1406416912</v>
      </c>
      <c r="D35" s="194">
        <f>SUM(D32:D34)</f>
        <v>580000000</v>
      </c>
      <c r="E35" s="194">
        <f t="shared" ref="E35:I35" si="7">SUM(E32:E34)</f>
        <v>1570000000</v>
      </c>
      <c r="F35" s="194">
        <f t="shared" si="7"/>
        <v>1775000000</v>
      </c>
      <c r="G35" s="194">
        <f t="shared" si="7"/>
        <v>1883500000</v>
      </c>
      <c r="H35" s="194">
        <f t="shared" si="7"/>
        <v>446462500.00000006</v>
      </c>
      <c r="I35" s="194">
        <f t="shared" si="7"/>
        <v>6254962500</v>
      </c>
    </row>
    <row r="37" spans="1:10" x14ac:dyDescent="0.25">
      <c r="A37" s="202"/>
      <c r="B37" s="202" t="s">
        <v>518</v>
      </c>
      <c r="C37" s="203"/>
      <c r="D37" s="206" t="s">
        <v>481</v>
      </c>
      <c r="E37" s="204" t="s">
        <v>482</v>
      </c>
      <c r="F37" s="204" t="s">
        <v>483</v>
      </c>
      <c r="G37" s="204" t="s">
        <v>484</v>
      </c>
      <c r="H37" s="204" t="s">
        <v>485</v>
      </c>
      <c r="I37" s="204" t="s">
        <v>486</v>
      </c>
    </row>
    <row r="38" spans="1:10" x14ac:dyDescent="0.25">
      <c r="A38" s="192"/>
      <c r="B38" s="192" t="s">
        <v>519</v>
      </c>
      <c r="C38" s="192" t="s">
        <v>17</v>
      </c>
      <c r="D38" s="195">
        <v>250000000</v>
      </c>
      <c r="E38" s="195">
        <v>530000000</v>
      </c>
      <c r="F38" s="195">
        <v>532000000</v>
      </c>
      <c r="G38" s="195">
        <v>2090000000</v>
      </c>
      <c r="H38" s="195">
        <v>860000000</v>
      </c>
      <c r="I38" s="195">
        <f>D38+E38+F38+G38+H38</f>
        <v>4262000000</v>
      </c>
      <c r="J38" s="196"/>
    </row>
    <row r="39" spans="1:10" x14ac:dyDescent="0.25">
      <c r="A39" s="192"/>
      <c r="B39" s="187" t="s">
        <v>335</v>
      </c>
      <c r="C39" s="192" t="s">
        <v>17</v>
      </c>
      <c r="D39" s="195">
        <v>260000000</v>
      </c>
      <c r="E39" s="195">
        <v>420000000</v>
      </c>
      <c r="F39" s="195">
        <v>460000000</v>
      </c>
      <c r="G39" s="195">
        <v>360000000</v>
      </c>
      <c r="H39" s="195">
        <v>350000000</v>
      </c>
      <c r="I39" s="195">
        <f t="shared" ref="I39" si="8">D39+E39+F39+G39+H39</f>
        <v>1850000000</v>
      </c>
      <c r="J39" s="196"/>
    </row>
    <row r="40" spans="1:10" x14ac:dyDescent="0.25">
      <c r="A40" s="192"/>
      <c r="B40" s="192" t="s">
        <v>340</v>
      </c>
      <c r="C40" s="192" t="s">
        <v>17</v>
      </c>
      <c r="D40" s="195">
        <v>325000000</v>
      </c>
      <c r="E40" s="195">
        <v>480000000</v>
      </c>
      <c r="F40" s="195">
        <v>500000000</v>
      </c>
      <c r="G40" s="195">
        <v>520000000</v>
      </c>
      <c r="H40" s="195">
        <v>540000000</v>
      </c>
      <c r="I40" s="195">
        <f>D40+E40+F40+G40+H40</f>
        <v>2365000000</v>
      </c>
      <c r="J40" s="196"/>
    </row>
    <row r="41" spans="1:10" x14ac:dyDescent="0.25">
      <c r="A41" s="186"/>
      <c r="B41" s="186" t="s">
        <v>501</v>
      </c>
      <c r="C41" s="193">
        <f ca="1">SUM(C32:C39)</f>
        <v>1406416912</v>
      </c>
      <c r="D41" s="194">
        <f t="shared" ref="D41:I41" si="9">SUM(D38:D40)</f>
        <v>835000000</v>
      </c>
      <c r="E41" s="194">
        <f t="shared" si="9"/>
        <v>1430000000</v>
      </c>
      <c r="F41" s="194">
        <f t="shared" si="9"/>
        <v>1492000000</v>
      </c>
      <c r="G41" s="194">
        <f t="shared" si="9"/>
        <v>2970000000</v>
      </c>
      <c r="H41" s="194">
        <f t="shared" si="9"/>
        <v>1750000000</v>
      </c>
      <c r="I41" s="194">
        <f t="shared" si="9"/>
        <v>8477000000</v>
      </c>
    </row>
    <row r="42" spans="1:10" x14ac:dyDescent="0.25">
      <c r="A42" s="198"/>
      <c r="B42" s="198"/>
      <c r="C42" s="207"/>
      <c r="D42" s="208"/>
      <c r="E42" s="208"/>
      <c r="F42" s="208"/>
      <c r="G42" s="208"/>
      <c r="H42" s="208"/>
      <c r="I42" s="208"/>
    </row>
    <row r="43" spans="1:10" s="219" customFormat="1" ht="15.75" thickBot="1" x14ac:dyDescent="0.3">
      <c r="A43" s="216"/>
      <c r="B43" s="216" t="s">
        <v>520</v>
      </c>
      <c r="C43" s="217"/>
      <c r="D43" s="218">
        <f>D35+D41</f>
        <v>1415000000</v>
      </c>
      <c r="E43" s="218">
        <f>E35+E41</f>
        <v>3000000000</v>
      </c>
      <c r="F43" s="218">
        <f>F35+F41</f>
        <v>3267000000</v>
      </c>
      <c r="G43" s="218">
        <f>G35+G41</f>
        <v>4853500000</v>
      </c>
      <c r="H43" s="218">
        <f>H35+H41</f>
        <v>2196462500</v>
      </c>
      <c r="I43" s="218">
        <f t="shared" ref="I43" si="10">I35+I41</f>
        <v>14731962500</v>
      </c>
    </row>
    <row r="44" spans="1:10" ht="15.75" thickTop="1" x14ac:dyDescent="0.25">
      <c r="A44" s="198"/>
      <c r="B44" s="198"/>
      <c r="C44" s="207"/>
      <c r="D44" s="208"/>
      <c r="E44" s="208"/>
      <c r="F44" s="208"/>
      <c r="G44" s="208"/>
      <c r="H44" s="208"/>
      <c r="I44" s="208"/>
    </row>
    <row r="45" spans="1:10" x14ac:dyDescent="0.25">
      <c r="A45" s="198"/>
      <c r="B45" s="198"/>
      <c r="C45" s="207"/>
      <c r="D45" s="208"/>
      <c r="E45" s="208"/>
      <c r="F45" s="208"/>
      <c r="G45" s="208"/>
      <c r="H45" s="208"/>
      <c r="I45" s="208"/>
    </row>
    <row r="46" spans="1:10" ht="15.75" thickBot="1" x14ac:dyDescent="0.3">
      <c r="A46" s="302" t="s">
        <v>521</v>
      </c>
      <c r="B46" s="302"/>
      <c r="C46" s="302"/>
      <c r="D46" s="302"/>
      <c r="E46" s="302"/>
      <c r="F46" s="302"/>
      <c r="G46" s="302"/>
      <c r="H46" s="302"/>
      <c r="I46" s="302"/>
    </row>
    <row r="48" spans="1:10" s="224" customFormat="1" x14ac:dyDescent="0.25">
      <c r="A48" s="220"/>
      <c r="B48" s="220" t="s">
        <v>522</v>
      </c>
      <c r="C48" s="221"/>
      <c r="D48" s="222" t="s">
        <v>481</v>
      </c>
      <c r="E48" s="223" t="s">
        <v>482</v>
      </c>
      <c r="F48" s="223" t="s">
        <v>483</v>
      </c>
      <c r="G48" s="223" t="s">
        <v>484</v>
      </c>
      <c r="H48" s="223" t="s">
        <v>485</v>
      </c>
      <c r="I48" s="223" t="s">
        <v>486</v>
      </c>
    </row>
    <row r="49" spans="1:10" x14ac:dyDescent="0.25">
      <c r="A49" s="192" t="s">
        <v>523</v>
      </c>
      <c r="B49" s="303" t="s">
        <v>524</v>
      </c>
      <c r="C49" s="192" t="s">
        <v>17</v>
      </c>
      <c r="D49" s="195">
        <v>76429840</v>
      </c>
      <c r="E49" s="195">
        <v>141144316</v>
      </c>
      <c r="F49" s="195">
        <v>178315963.39999998</v>
      </c>
      <c r="G49" s="195">
        <v>221063357.90999997</v>
      </c>
      <c r="H49" s="195">
        <v>270222861.59649992</v>
      </c>
      <c r="I49" s="195">
        <f>D49+E49+F49+G49+H49</f>
        <v>887176338.90649986</v>
      </c>
      <c r="J49" s="196"/>
    </row>
    <row r="50" spans="1:10" x14ac:dyDescent="0.25">
      <c r="A50" s="192" t="s">
        <v>525</v>
      </c>
      <c r="B50" s="303"/>
      <c r="C50" s="192" t="s">
        <v>17</v>
      </c>
      <c r="D50" s="195">
        <v>86868000</v>
      </c>
      <c r="E50" s="195">
        <v>86868000</v>
      </c>
      <c r="F50" s="195">
        <v>0</v>
      </c>
      <c r="G50" s="195">
        <v>86868000</v>
      </c>
      <c r="H50" s="195">
        <v>86868000</v>
      </c>
      <c r="I50" s="195">
        <f t="shared" ref="I50" si="11">D50+E50+F50+G50+H50</f>
        <v>347472000</v>
      </c>
      <c r="J50" s="196"/>
    </row>
    <row r="51" spans="1:10" x14ac:dyDescent="0.25">
      <c r="A51" s="186"/>
      <c r="B51" s="186" t="s">
        <v>501</v>
      </c>
      <c r="C51" s="193">
        <f ca="1">SUM(C16:C50)</f>
        <v>4900743992</v>
      </c>
      <c r="D51" s="194">
        <f t="shared" ref="D51:I51" si="12">SUM(D49:D50)</f>
        <v>163297840</v>
      </c>
      <c r="E51" s="194">
        <f t="shared" si="12"/>
        <v>228012316</v>
      </c>
      <c r="F51" s="194">
        <f t="shared" si="12"/>
        <v>178315963.39999998</v>
      </c>
      <c r="G51" s="194">
        <f t="shared" si="12"/>
        <v>307931357.90999997</v>
      </c>
      <c r="H51" s="194">
        <f t="shared" si="12"/>
        <v>357090861.59649992</v>
      </c>
      <c r="I51" s="194">
        <f t="shared" si="12"/>
        <v>1234648338.9064999</v>
      </c>
    </row>
    <row r="53" spans="1:10" s="224" customFormat="1" x14ac:dyDescent="0.25">
      <c r="A53" s="220"/>
      <c r="B53" s="220" t="s">
        <v>526</v>
      </c>
      <c r="C53" s="221"/>
      <c r="D53" s="222" t="s">
        <v>481</v>
      </c>
      <c r="E53" s="223" t="s">
        <v>482</v>
      </c>
      <c r="F53" s="223" t="s">
        <v>483</v>
      </c>
      <c r="G53" s="223" t="s">
        <v>484</v>
      </c>
      <c r="H53" s="223" t="s">
        <v>485</v>
      </c>
      <c r="I53" s="223" t="s">
        <v>486</v>
      </c>
    </row>
    <row r="54" spans="1:10" x14ac:dyDescent="0.25">
      <c r="A54" s="192" t="s">
        <v>527</v>
      </c>
      <c r="B54" s="303" t="s">
        <v>528</v>
      </c>
      <c r="C54" s="192" t="s">
        <v>17</v>
      </c>
      <c r="D54" s="195">
        <v>1947727011</v>
      </c>
      <c r="E54" s="195">
        <v>2609858370</v>
      </c>
      <c r="F54" s="195">
        <v>3170925021</v>
      </c>
      <c r="G54" s="195">
        <v>3786078051</v>
      </c>
      <c r="H54" s="195">
        <v>4440805118</v>
      </c>
      <c r="I54" s="195">
        <f>D54+E54+F54+G54+H54</f>
        <v>15955393571</v>
      </c>
      <c r="J54" s="196"/>
    </row>
    <row r="55" spans="1:10" x14ac:dyDescent="0.25">
      <c r="A55" s="192" t="s">
        <v>529</v>
      </c>
      <c r="B55" s="303"/>
      <c r="C55" s="192" t="s">
        <v>17</v>
      </c>
      <c r="D55" s="195">
        <v>300000000</v>
      </c>
      <c r="E55" s="195">
        <v>410000000</v>
      </c>
      <c r="F55" s="195">
        <v>450000000</v>
      </c>
      <c r="G55" s="195">
        <v>510000000</v>
      </c>
      <c r="H55" s="195">
        <v>300000000</v>
      </c>
      <c r="I55" s="195">
        <f t="shared" ref="I55:I58" si="13">D55+E55+F55+G55+H55</f>
        <v>1970000000</v>
      </c>
      <c r="J55" s="196"/>
    </row>
    <row r="56" spans="1:10" x14ac:dyDescent="0.25">
      <c r="A56" s="192" t="s">
        <v>530</v>
      </c>
      <c r="B56" s="303"/>
      <c r="C56" s="192"/>
      <c r="D56" s="195">
        <v>326047827</v>
      </c>
      <c r="E56" s="195">
        <v>358652609.70000005</v>
      </c>
      <c r="F56" s="195">
        <v>394517870.67000008</v>
      </c>
      <c r="G56" s="195">
        <v>433969657.73700011</v>
      </c>
      <c r="H56" s="195">
        <v>477366623.51070011</v>
      </c>
      <c r="I56" s="195">
        <f t="shared" si="13"/>
        <v>1990554588.6177006</v>
      </c>
      <c r="J56" s="196"/>
    </row>
    <row r="57" spans="1:10" x14ac:dyDescent="0.25">
      <c r="A57" s="192" t="s">
        <v>531</v>
      </c>
      <c r="B57" s="187" t="s">
        <v>532</v>
      </c>
      <c r="C57" s="192"/>
      <c r="D57" s="195">
        <v>70752000</v>
      </c>
      <c r="E57" s="195">
        <v>252466203</v>
      </c>
      <c r="F57" s="195">
        <v>277712822</v>
      </c>
      <c r="G57" s="195">
        <v>305484105</v>
      </c>
      <c r="H57" s="195">
        <v>101272795</v>
      </c>
      <c r="I57" s="195">
        <f t="shared" si="13"/>
        <v>1007687925</v>
      </c>
      <c r="J57" s="196"/>
    </row>
    <row r="58" spans="1:10" x14ac:dyDescent="0.25">
      <c r="A58" s="192" t="s">
        <v>533</v>
      </c>
      <c r="B58" s="192" t="s">
        <v>534</v>
      </c>
      <c r="C58" s="192"/>
      <c r="D58" s="195">
        <v>15000000</v>
      </c>
      <c r="E58" s="195">
        <v>30000000</v>
      </c>
      <c r="F58" s="195">
        <v>33000000.000000004</v>
      </c>
      <c r="G58" s="195">
        <v>36300000.000000007</v>
      </c>
      <c r="H58" s="195">
        <v>0</v>
      </c>
      <c r="I58" s="195">
        <f t="shared" si="13"/>
        <v>114300000</v>
      </c>
      <c r="J58" s="196"/>
    </row>
    <row r="59" spans="1:10" x14ac:dyDescent="0.25">
      <c r="A59" s="192"/>
      <c r="B59" s="186" t="s">
        <v>501</v>
      </c>
      <c r="C59" s="193">
        <f ca="1">SUM(C49:C55)</f>
        <v>4900743992</v>
      </c>
      <c r="D59" s="194">
        <f>SUM(D54:D58)</f>
        <v>2659526838</v>
      </c>
      <c r="E59" s="194">
        <f>SUM(E54:E58)</f>
        <v>3660977182.6999998</v>
      </c>
      <c r="F59" s="194">
        <f>SUM(F54:F58)</f>
        <v>4326155713.6700001</v>
      </c>
      <c r="G59" s="194">
        <f>SUM(G54:G58)</f>
        <v>5071831813.7370005</v>
      </c>
      <c r="H59" s="194">
        <f>SUM(H54:H58)</f>
        <v>5319444536.5107002</v>
      </c>
      <c r="I59" s="194">
        <f>SUM(I54:I55)</f>
        <v>17925393571</v>
      </c>
    </row>
    <row r="60" spans="1:10" x14ac:dyDescent="0.25">
      <c r="A60" s="186"/>
      <c r="B60" s="186"/>
      <c r="C60" s="193"/>
      <c r="D60" s="194"/>
      <c r="E60" s="194"/>
      <c r="F60" s="194"/>
      <c r="G60" s="194"/>
      <c r="H60" s="194"/>
      <c r="I60" s="194"/>
    </row>
    <row r="61" spans="1:10" s="224" customFormat="1" x14ac:dyDescent="0.25">
      <c r="A61" s="220"/>
      <c r="B61" s="220" t="s">
        <v>535</v>
      </c>
      <c r="C61" s="221"/>
      <c r="D61" s="222" t="s">
        <v>481</v>
      </c>
      <c r="E61" s="223" t="s">
        <v>482</v>
      </c>
      <c r="F61" s="223" t="s">
        <v>483</v>
      </c>
      <c r="G61" s="223" t="s">
        <v>484</v>
      </c>
      <c r="H61" s="223" t="s">
        <v>485</v>
      </c>
      <c r="I61" s="223" t="s">
        <v>486</v>
      </c>
    </row>
    <row r="62" spans="1:10" x14ac:dyDescent="0.25">
      <c r="A62" s="192" t="s">
        <v>536</v>
      </c>
      <c r="B62" s="192" t="s">
        <v>537</v>
      </c>
      <c r="C62" s="192" t="s">
        <v>17</v>
      </c>
      <c r="D62" s="250">
        <v>52184394</v>
      </c>
      <c r="E62" s="250">
        <v>57402833.399999999</v>
      </c>
      <c r="F62" s="250">
        <v>63143116.739999995</v>
      </c>
      <c r="G62" s="250">
        <v>69457428.41399999</v>
      </c>
      <c r="H62" s="250">
        <v>19100792.813849997</v>
      </c>
      <c r="I62" s="195">
        <f>D62+E62+F62+G62+H62</f>
        <v>261288565.36784995</v>
      </c>
      <c r="J62" s="196"/>
    </row>
    <row r="63" spans="1:10" x14ac:dyDescent="0.25">
      <c r="A63" s="192" t="s">
        <v>538</v>
      </c>
      <c r="B63" s="187" t="s">
        <v>539</v>
      </c>
      <c r="C63" s="192" t="s">
        <v>17</v>
      </c>
      <c r="D63" s="250">
        <v>620525704</v>
      </c>
      <c r="E63" s="250">
        <v>682578274.39999998</v>
      </c>
      <c r="F63" s="250">
        <v>750836101.83999991</v>
      </c>
      <c r="G63" s="250">
        <v>825919712.02399993</v>
      </c>
      <c r="H63" s="250">
        <v>227127920.80659997</v>
      </c>
      <c r="I63" s="195">
        <f>D63+E63+F63+G63+H63</f>
        <v>3106987713.0706</v>
      </c>
      <c r="J63" s="196"/>
    </row>
    <row r="64" spans="1:10" x14ac:dyDescent="0.25">
      <c r="A64" s="192" t="s">
        <v>540</v>
      </c>
      <c r="B64" s="303" t="s">
        <v>541</v>
      </c>
      <c r="C64" s="192" t="s">
        <v>17</v>
      </c>
      <c r="D64" s="250">
        <v>41484394</v>
      </c>
      <c r="E64" s="250">
        <v>45632833.400000006</v>
      </c>
      <c r="F64" s="250">
        <v>50196116.74000001</v>
      </c>
      <c r="G64" s="250">
        <v>55215728.414000012</v>
      </c>
      <c r="H64" s="250">
        <v>60737301.255400017</v>
      </c>
      <c r="I64" s="195">
        <f>D64+E64+F64+G64+H64</f>
        <v>253266373.80940002</v>
      </c>
      <c r="J64" s="196"/>
    </row>
    <row r="65" spans="1:10" x14ac:dyDescent="0.25">
      <c r="A65" s="192" t="s">
        <v>542</v>
      </c>
      <c r="B65" s="303"/>
      <c r="C65" s="192"/>
      <c r="D65" s="250">
        <v>80000000</v>
      </c>
      <c r="E65" s="250">
        <v>88000000</v>
      </c>
      <c r="F65" s="250">
        <v>96800000</v>
      </c>
      <c r="G65" s="250">
        <v>106480000</v>
      </c>
      <c r="H65" s="250">
        <v>29282000</v>
      </c>
      <c r="I65" s="195">
        <f>D65+E65+F65+G65+H65</f>
        <v>400562000</v>
      </c>
      <c r="J65" s="196"/>
    </row>
    <row r="66" spans="1:10" x14ac:dyDescent="0.25">
      <c r="A66" s="186"/>
      <c r="B66" s="186" t="s">
        <v>501</v>
      </c>
      <c r="C66" s="193">
        <f ca="1">SUM(C54:C64)</f>
        <v>4900743992</v>
      </c>
      <c r="D66" s="194">
        <f>SUM(D62:D65)</f>
        <v>794194492</v>
      </c>
      <c r="E66" s="194">
        <f t="shared" ref="E66:I66" si="14">SUM(E62:E65)</f>
        <v>873613941.19999993</v>
      </c>
      <c r="F66" s="194">
        <f t="shared" si="14"/>
        <v>960975335.31999993</v>
      </c>
      <c r="G66" s="194">
        <f t="shared" si="14"/>
        <v>1057072868.852</v>
      </c>
      <c r="H66" s="194">
        <f t="shared" si="14"/>
        <v>336248014.87584996</v>
      </c>
      <c r="I66" s="194">
        <f t="shared" si="14"/>
        <v>4022104652.2478499</v>
      </c>
    </row>
    <row r="67" spans="1:10" x14ac:dyDescent="0.25">
      <c r="A67" s="198"/>
      <c r="B67" s="198"/>
      <c r="C67" s="207"/>
      <c r="D67" s="208"/>
      <c r="E67" s="208"/>
      <c r="F67" s="208"/>
      <c r="G67" s="208"/>
      <c r="H67" s="208"/>
      <c r="I67" s="208"/>
    </row>
    <row r="68" spans="1:10" s="224" customFormat="1" x14ac:dyDescent="0.25">
      <c r="A68" s="220"/>
      <c r="B68" s="220" t="s">
        <v>543</v>
      </c>
      <c r="C68" s="221"/>
      <c r="D68" s="222" t="s">
        <v>481</v>
      </c>
      <c r="E68" s="223" t="s">
        <v>482</v>
      </c>
      <c r="F68" s="223" t="s">
        <v>483</v>
      </c>
      <c r="G68" s="223" t="s">
        <v>484</v>
      </c>
      <c r="H68" s="223" t="s">
        <v>485</v>
      </c>
      <c r="I68" s="223" t="s">
        <v>486</v>
      </c>
    </row>
    <row r="69" spans="1:10" x14ac:dyDescent="0.25">
      <c r="A69" s="192" t="s">
        <v>544</v>
      </c>
      <c r="B69" s="303" t="s">
        <v>545</v>
      </c>
      <c r="C69" s="192" t="s">
        <v>17</v>
      </c>
      <c r="D69" s="251">
        <v>1306972000</v>
      </c>
      <c r="E69" s="251">
        <v>1087669000</v>
      </c>
      <c r="F69" s="251">
        <v>1196435000</v>
      </c>
      <c r="G69" s="251">
        <v>1316078000</v>
      </c>
      <c r="H69" s="251">
        <v>482561667</v>
      </c>
      <c r="I69" s="251">
        <v>5389715667</v>
      </c>
      <c r="J69" s="196"/>
    </row>
    <row r="70" spans="1:10" x14ac:dyDescent="0.25">
      <c r="A70" s="192" t="s">
        <v>546</v>
      </c>
      <c r="B70" s="303"/>
      <c r="C70" s="192" t="s">
        <v>17</v>
      </c>
      <c r="D70" s="251">
        <v>0</v>
      </c>
      <c r="E70" s="251">
        <v>0</v>
      </c>
      <c r="F70" s="251">
        <v>0</v>
      </c>
      <c r="G70" s="251">
        <v>0</v>
      </c>
      <c r="H70" s="251">
        <v>0</v>
      </c>
      <c r="I70" s="251">
        <v>0</v>
      </c>
      <c r="J70" s="196"/>
    </row>
    <row r="71" spans="1:10" x14ac:dyDescent="0.25">
      <c r="A71" s="192" t="s">
        <v>547</v>
      </c>
      <c r="B71" s="225" t="s">
        <v>548</v>
      </c>
      <c r="C71" s="192" t="s">
        <v>17</v>
      </c>
      <c r="D71" s="251">
        <v>253695526</v>
      </c>
      <c r="E71" s="251">
        <v>291249854</v>
      </c>
      <c r="F71" s="251">
        <v>811037332</v>
      </c>
      <c r="G71" s="251">
        <v>385178104</v>
      </c>
      <c r="H71" s="251">
        <v>151045982</v>
      </c>
      <c r="I71" s="251">
        <v>1892206798</v>
      </c>
      <c r="J71" s="196"/>
    </row>
    <row r="72" spans="1:10" x14ac:dyDescent="0.25">
      <c r="A72" s="186"/>
      <c r="B72" s="186" t="s">
        <v>501</v>
      </c>
      <c r="C72" s="193">
        <f ca="1">SUM(C60:C71)</f>
        <v>4900743992</v>
      </c>
      <c r="D72" s="194">
        <f>SUM(D69:D71)</f>
        <v>1560667526</v>
      </c>
      <c r="E72" s="194">
        <f t="shared" ref="E72:H72" si="15">SUM(E69:E71)</f>
        <v>1378918854</v>
      </c>
      <c r="F72" s="194">
        <f t="shared" si="15"/>
        <v>2007472332</v>
      </c>
      <c r="G72" s="194">
        <f t="shared" si="15"/>
        <v>1701256104</v>
      </c>
      <c r="H72" s="194">
        <f t="shared" si="15"/>
        <v>633607649</v>
      </c>
      <c r="I72" s="194">
        <f>SUM(I69:I71)</f>
        <v>7281922465</v>
      </c>
    </row>
    <row r="73" spans="1:10" x14ac:dyDescent="0.25">
      <c r="A73" s="198"/>
      <c r="B73" s="198"/>
      <c r="C73" s="207"/>
      <c r="D73" s="208"/>
      <c r="E73" s="208"/>
      <c r="F73" s="208"/>
      <c r="G73" s="208"/>
      <c r="H73" s="208"/>
      <c r="I73" s="208"/>
    </row>
    <row r="74" spans="1:10" s="229" customFormat="1" ht="15.75" thickBot="1" x14ac:dyDescent="0.3">
      <c r="A74" s="226"/>
      <c r="B74" s="226" t="s">
        <v>549</v>
      </c>
      <c r="C74" s="227"/>
      <c r="D74" s="228">
        <f>D51+D59+D66</f>
        <v>3617019170</v>
      </c>
      <c r="E74" s="228">
        <f>E51+E59+E66</f>
        <v>4762603439.8999996</v>
      </c>
      <c r="F74" s="228">
        <f>F51+F59+F66</f>
        <v>5465447012.3899994</v>
      </c>
      <c r="G74" s="228">
        <f>G51+G59+G66</f>
        <v>6436836040.4990005</v>
      </c>
      <c r="H74" s="228">
        <f>H51+H59+H66</f>
        <v>6012783412.9830503</v>
      </c>
      <c r="I74" s="228">
        <f t="shared" ref="I74" si="16">I51+I59+I66</f>
        <v>23182146562.15435</v>
      </c>
    </row>
    <row r="75" spans="1:10" ht="15.75" thickTop="1" x14ac:dyDescent="0.25">
      <c r="A75" s="198"/>
      <c r="B75" s="198"/>
      <c r="C75" s="207"/>
      <c r="D75" s="208"/>
      <c r="E75" s="208"/>
      <c r="F75" s="208"/>
      <c r="G75" s="208"/>
      <c r="H75" s="208"/>
      <c r="I75" s="208"/>
    </row>
    <row r="76" spans="1:10" x14ac:dyDescent="0.25">
      <c r="A76" s="198"/>
      <c r="B76" s="198"/>
      <c r="C76" s="207"/>
      <c r="D76" s="208"/>
      <c r="E76" s="208"/>
      <c r="F76" s="208"/>
      <c r="G76" s="208"/>
      <c r="H76" s="208"/>
      <c r="I76" s="208"/>
    </row>
    <row r="77" spans="1:10" s="265" customFormat="1" ht="15.75" thickBot="1" x14ac:dyDescent="0.3">
      <c r="A77" s="300" t="s">
        <v>550</v>
      </c>
      <c r="B77" s="300"/>
      <c r="C77" s="300"/>
      <c r="D77" s="300"/>
      <c r="E77" s="300"/>
      <c r="F77" s="300"/>
      <c r="G77" s="300"/>
      <c r="H77" s="300"/>
      <c r="I77" s="300"/>
    </row>
    <row r="78" spans="1:10" x14ac:dyDescent="0.25">
      <c r="A78" s="198"/>
      <c r="B78" s="198"/>
      <c r="C78" s="207"/>
      <c r="D78" s="208"/>
      <c r="E78" s="208"/>
      <c r="F78" s="208"/>
      <c r="G78" s="208"/>
      <c r="H78" s="208"/>
      <c r="I78" s="208"/>
    </row>
    <row r="79" spans="1:10" s="230" customFormat="1" x14ac:dyDescent="0.25">
      <c r="A79" s="261"/>
      <c r="B79" s="260" t="s">
        <v>551</v>
      </c>
      <c r="C79" s="262"/>
      <c r="D79" s="260" t="s">
        <v>481</v>
      </c>
      <c r="E79" s="260" t="s">
        <v>482</v>
      </c>
      <c r="F79" s="260" t="s">
        <v>483</v>
      </c>
      <c r="G79" s="260" t="s">
        <v>484</v>
      </c>
      <c r="H79" s="260" t="s">
        <v>485</v>
      </c>
      <c r="I79" s="260" t="s">
        <v>552</v>
      </c>
    </row>
    <row r="80" spans="1:10" ht="15" customHeight="1" x14ac:dyDescent="0.25">
      <c r="A80" s="192" t="s">
        <v>553</v>
      </c>
      <c r="B80" s="304" t="s">
        <v>554</v>
      </c>
      <c r="C80" s="192"/>
      <c r="D80" s="253">
        <v>1088018494</v>
      </c>
      <c r="E80" s="253">
        <v>2179036988</v>
      </c>
      <c r="F80" s="253">
        <v>2183036988</v>
      </c>
      <c r="G80" s="253">
        <v>2190036988</v>
      </c>
      <c r="H80" s="253">
        <v>1088518494</v>
      </c>
      <c r="I80" s="195">
        <f t="shared" ref="I80:I87" si="17">D80+E80+F80+G80+H80</f>
        <v>8728647952</v>
      </c>
    </row>
    <row r="81" spans="1:9" ht="15" customHeight="1" x14ac:dyDescent="0.25">
      <c r="A81" s="192" t="s">
        <v>555</v>
      </c>
      <c r="B81" s="304"/>
      <c r="C81" s="192"/>
      <c r="D81" s="253">
        <v>152000000</v>
      </c>
      <c r="E81" s="253">
        <v>230000000</v>
      </c>
      <c r="F81" s="253">
        <v>240000000</v>
      </c>
      <c r="G81" s="253">
        <v>250000000</v>
      </c>
      <c r="H81" s="253">
        <v>260000000</v>
      </c>
      <c r="I81" s="195">
        <f t="shared" si="17"/>
        <v>1132000000</v>
      </c>
    </row>
    <row r="82" spans="1:9" ht="15" customHeight="1" x14ac:dyDescent="0.25">
      <c r="A82" s="192" t="s">
        <v>556</v>
      </c>
      <c r="B82" s="304"/>
      <c r="C82" s="192"/>
      <c r="D82" s="253">
        <v>170000000</v>
      </c>
      <c r="E82" s="253">
        <v>180000000</v>
      </c>
      <c r="F82" s="253">
        <v>190000000</v>
      </c>
      <c r="G82" s="253">
        <v>205000000</v>
      </c>
      <c r="H82" s="253">
        <v>215000000</v>
      </c>
      <c r="I82" s="195">
        <f t="shared" si="17"/>
        <v>960000000</v>
      </c>
    </row>
    <row r="83" spans="1:9" ht="15" customHeight="1" x14ac:dyDescent="0.25">
      <c r="A83" s="192" t="s">
        <v>557</v>
      </c>
      <c r="B83" s="304"/>
      <c r="C83" s="192"/>
      <c r="D83" s="253">
        <v>4783940600</v>
      </c>
      <c r="E83" s="253">
        <v>5166655848</v>
      </c>
      <c r="F83" s="253">
        <v>6138503813</v>
      </c>
      <c r="G83" s="253">
        <v>6752354194</v>
      </c>
      <c r="H83" s="253">
        <v>3376177097</v>
      </c>
      <c r="I83" s="195">
        <f t="shared" si="17"/>
        <v>26217631552</v>
      </c>
    </row>
    <row r="84" spans="1:9" ht="15" customHeight="1" x14ac:dyDescent="0.25">
      <c r="A84" s="192" t="s">
        <v>558</v>
      </c>
      <c r="B84" s="192" t="s">
        <v>559</v>
      </c>
      <c r="C84" s="192"/>
      <c r="D84" s="253">
        <v>0</v>
      </c>
      <c r="E84" s="253">
        <v>17000000</v>
      </c>
      <c r="F84" s="253">
        <v>8000000</v>
      </c>
      <c r="G84" s="253">
        <v>11000000</v>
      </c>
      <c r="H84" s="253">
        <v>12000000</v>
      </c>
      <c r="I84" s="195">
        <f>D84+E84+F84+G84+H84</f>
        <v>48000000</v>
      </c>
    </row>
    <row r="85" spans="1:9" ht="15" customHeight="1" x14ac:dyDescent="0.35">
      <c r="A85" s="192" t="s">
        <v>560</v>
      </c>
      <c r="B85" s="304" t="s">
        <v>561</v>
      </c>
      <c r="C85" s="192"/>
      <c r="D85" s="253">
        <v>45000000</v>
      </c>
      <c r="E85" s="253">
        <v>52500000</v>
      </c>
      <c r="F85" s="253">
        <v>57500000</v>
      </c>
      <c r="G85" s="253">
        <v>61525000</v>
      </c>
      <c r="H85" s="253">
        <v>65831750</v>
      </c>
      <c r="I85" s="195">
        <f t="shared" si="17"/>
        <v>282356750</v>
      </c>
    </row>
    <row r="86" spans="1:9" ht="15" customHeight="1" x14ac:dyDescent="0.25">
      <c r="A86" s="192" t="s">
        <v>562</v>
      </c>
      <c r="B86" s="304"/>
      <c r="C86" s="192"/>
      <c r="D86" s="253">
        <v>142757376</v>
      </c>
      <c r="E86" s="253">
        <v>152750392.32000002</v>
      </c>
      <c r="F86" s="253">
        <v>163442919.78240004</v>
      </c>
      <c r="G86" s="253">
        <v>174883924.16716805</v>
      </c>
      <c r="H86" s="253">
        <v>187125798.85886982</v>
      </c>
      <c r="I86" s="195">
        <f t="shared" si="17"/>
        <v>820960411.12843788</v>
      </c>
    </row>
    <row r="87" spans="1:9" ht="15" customHeight="1" x14ac:dyDescent="0.35">
      <c r="A87" s="192" t="s">
        <v>563</v>
      </c>
      <c r="B87" s="304"/>
      <c r="C87" s="192"/>
      <c r="D87" s="253">
        <v>379499584</v>
      </c>
      <c r="E87" s="253">
        <v>375500000</v>
      </c>
      <c r="F87" s="253">
        <v>354200000</v>
      </c>
      <c r="G87" s="253">
        <v>369435000</v>
      </c>
      <c r="H87" s="253">
        <v>392140450</v>
      </c>
      <c r="I87" s="195">
        <f t="shared" si="17"/>
        <v>1870775034</v>
      </c>
    </row>
    <row r="88" spans="1:9" ht="15" customHeight="1" x14ac:dyDescent="0.25">
      <c r="A88" s="192"/>
      <c r="B88" s="186" t="s">
        <v>564</v>
      </c>
      <c r="C88" s="186"/>
      <c r="D88" s="258">
        <f t="shared" ref="D88:I88" si="18">SUM(D80:D87)</f>
        <v>6761216054</v>
      </c>
      <c r="E88" s="258">
        <f t="shared" si="18"/>
        <v>8353443228.3199997</v>
      </c>
      <c r="F88" s="258">
        <f t="shared" si="18"/>
        <v>9334683720.7824001</v>
      </c>
      <c r="G88" s="258">
        <f t="shared" si="18"/>
        <v>10014235106.167168</v>
      </c>
      <c r="H88" s="258">
        <f t="shared" si="18"/>
        <v>5596793589.8588696</v>
      </c>
      <c r="I88" s="258">
        <f t="shared" si="18"/>
        <v>40060371699.128441</v>
      </c>
    </row>
    <row r="89" spans="1:9" ht="15" customHeight="1" x14ac:dyDescent="0.25">
      <c r="A89" s="255"/>
      <c r="B89" s="245"/>
      <c r="C89" s="254"/>
      <c r="D89" s="257"/>
      <c r="E89" s="257"/>
      <c r="F89" s="257"/>
      <c r="G89" s="257"/>
      <c r="H89" s="257"/>
      <c r="I89" s="256"/>
    </row>
    <row r="90" spans="1:9" s="264" customFormat="1" ht="15" customHeight="1" thickBot="1" x14ac:dyDescent="0.3">
      <c r="A90" s="263"/>
      <c r="B90" s="259" t="s">
        <v>565</v>
      </c>
      <c r="C90" s="261"/>
      <c r="D90" s="260" t="s">
        <v>481</v>
      </c>
      <c r="E90" s="260" t="s">
        <v>482</v>
      </c>
      <c r="F90" s="260" t="s">
        <v>483</v>
      </c>
      <c r="G90" s="260" t="s">
        <v>484</v>
      </c>
      <c r="H90" s="260" t="s">
        <v>485</v>
      </c>
      <c r="I90" s="260" t="s">
        <v>552</v>
      </c>
    </row>
    <row r="91" spans="1:9" ht="15" customHeight="1" x14ac:dyDescent="0.35">
      <c r="A91" s="192" t="s">
        <v>566</v>
      </c>
      <c r="B91" s="304" t="s">
        <v>567</v>
      </c>
      <c r="C91" s="192"/>
      <c r="D91" s="253">
        <v>4913675395</v>
      </c>
      <c r="E91" s="253">
        <v>9183319571</v>
      </c>
      <c r="F91" s="253">
        <v>9991468414.4000015</v>
      </c>
      <c r="G91" s="253">
        <v>10791615255.84</v>
      </c>
      <c r="H91" s="253">
        <v>9680776781.4239998</v>
      </c>
      <c r="I91" s="195">
        <f t="shared" ref="I91:I97" si="19">D91+E91+F91+G91+H91</f>
        <v>44560855417.664001</v>
      </c>
    </row>
    <row r="92" spans="1:9" ht="15" customHeight="1" x14ac:dyDescent="0.35">
      <c r="A92" s="192" t="s">
        <v>568</v>
      </c>
      <c r="B92" s="304"/>
      <c r="C92" s="192"/>
      <c r="D92" s="253">
        <v>43501000000</v>
      </c>
      <c r="E92" s="253">
        <v>13725000000</v>
      </c>
      <c r="F92" s="253">
        <v>13955000000</v>
      </c>
      <c r="G92" s="253">
        <v>3225000000</v>
      </c>
      <c r="H92" s="253">
        <v>3000000000</v>
      </c>
      <c r="I92" s="195">
        <f t="shared" si="19"/>
        <v>77406000000</v>
      </c>
    </row>
    <row r="93" spans="1:9" ht="15" customHeight="1" x14ac:dyDescent="0.35">
      <c r="A93" s="192" t="s">
        <v>569</v>
      </c>
      <c r="B93" s="304" t="s">
        <v>570</v>
      </c>
      <c r="C93" s="192"/>
      <c r="D93" s="253">
        <v>87000000</v>
      </c>
      <c r="E93" s="253">
        <v>250000000</v>
      </c>
      <c r="F93" s="253">
        <v>94000000</v>
      </c>
      <c r="G93" s="253">
        <v>60000000</v>
      </c>
      <c r="H93" s="253">
        <v>50000000</v>
      </c>
      <c r="I93" s="195">
        <f t="shared" si="19"/>
        <v>541000000</v>
      </c>
    </row>
    <row r="94" spans="1:9" ht="15" customHeight="1" x14ac:dyDescent="0.35">
      <c r="A94" s="237" t="s">
        <v>571</v>
      </c>
      <c r="B94" s="304"/>
      <c r="C94" s="192"/>
      <c r="D94" s="253">
        <v>125000000</v>
      </c>
      <c r="E94" s="253">
        <v>170000000</v>
      </c>
      <c r="F94" s="253">
        <v>170000000</v>
      </c>
      <c r="G94" s="253">
        <v>170000000</v>
      </c>
      <c r="H94" s="253">
        <v>170000000</v>
      </c>
      <c r="I94" s="195">
        <f t="shared" si="19"/>
        <v>805000000</v>
      </c>
    </row>
    <row r="95" spans="1:9" ht="15" customHeight="1" x14ac:dyDescent="0.35">
      <c r="A95" s="192" t="s">
        <v>572</v>
      </c>
      <c r="B95" s="304" t="s">
        <v>573</v>
      </c>
      <c r="C95" s="192"/>
      <c r="D95" s="253">
        <v>0</v>
      </c>
      <c r="E95" s="253">
        <v>435600000</v>
      </c>
      <c r="F95" s="253">
        <v>435600000</v>
      </c>
      <c r="G95" s="253">
        <v>435600000</v>
      </c>
      <c r="H95" s="253">
        <v>145200000</v>
      </c>
      <c r="I95" s="195">
        <f t="shared" si="19"/>
        <v>1452000000</v>
      </c>
    </row>
    <row r="96" spans="1:9" ht="15" customHeight="1" x14ac:dyDescent="0.35">
      <c r="A96" s="237" t="s">
        <v>574</v>
      </c>
      <c r="B96" s="304"/>
      <c r="C96" s="192"/>
      <c r="D96" s="253">
        <v>170000000</v>
      </c>
      <c r="E96" s="253">
        <v>819379416</v>
      </c>
      <c r="F96" s="253">
        <v>901317357.60000002</v>
      </c>
      <c r="G96" s="253">
        <v>991449093.36000013</v>
      </c>
      <c r="H96" s="253">
        <v>409689708</v>
      </c>
      <c r="I96" s="195">
        <f t="shared" si="19"/>
        <v>3291835574.96</v>
      </c>
    </row>
    <row r="97" spans="1:9" ht="15" customHeight="1" x14ac:dyDescent="0.35">
      <c r="A97" s="192" t="s">
        <v>575</v>
      </c>
      <c r="B97" s="192" t="s">
        <v>576</v>
      </c>
      <c r="C97" s="192"/>
      <c r="D97" s="253">
        <v>200000000</v>
      </c>
      <c r="E97" s="253">
        <v>200000000</v>
      </c>
      <c r="F97" s="253">
        <v>200000000</v>
      </c>
      <c r="G97" s="253">
        <v>200000000</v>
      </c>
      <c r="H97" s="253">
        <v>70000000</v>
      </c>
      <c r="I97" s="195">
        <f t="shared" si="19"/>
        <v>870000000</v>
      </c>
    </row>
    <row r="98" spans="1:9" ht="20.25" customHeight="1" x14ac:dyDescent="0.25">
      <c r="A98" s="232"/>
      <c r="B98" s="242" t="s">
        <v>564</v>
      </c>
      <c r="C98" s="192"/>
      <c r="D98" s="243">
        <f t="shared" ref="D98:I98" si="20">SUM(D91:D97)</f>
        <v>48996675395</v>
      </c>
      <c r="E98" s="243">
        <f t="shared" si="20"/>
        <v>24783298987</v>
      </c>
      <c r="F98" s="243">
        <f t="shared" si="20"/>
        <v>25747385772</v>
      </c>
      <c r="G98" s="243">
        <f t="shared" si="20"/>
        <v>15873664349.200001</v>
      </c>
      <c r="H98" s="243">
        <f t="shared" si="20"/>
        <v>13525666489.424</v>
      </c>
      <c r="I98" s="243">
        <f t="shared" si="20"/>
        <v>128926690992.62401</v>
      </c>
    </row>
    <row r="100" spans="1:9" s="269" customFormat="1" ht="15.75" thickBot="1" x14ac:dyDescent="0.3">
      <c r="A100" s="266"/>
      <c r="B100" s="266" t="s">
        <v>577</v>
      </c>
      <c r="C100" s="267"/>
      <c r="D100" s="268">
        <f t="shared" ref="D100:I100" si="21">D88+D98</f>
        <v>55757891449</v>
      </c>
      <c r="E100" s="268">
        <f t="shared" si="21"/>
        <v>33136742215.32</v>
      </c>
      <c r="F100" s="268">
        <f t="shared" si="21"/>
        <v>35082069492.782402</v>
      </c>
      <c r="G100" s="268">
        <f t="shared" si="21"/>
        <v>25887899455.367168</v>
      </c>
      <c r="H100" s="268">
        <f t="shared" si="21"/>
        <v>19122460079.282867</v>
      </c>
      <c r="I100" s="268">
        <f t="shared" si="21"/>
        <v>168987062691.75244</v>
      </c>
    </row>
    <row r="101" spans="1:9" ht="15.75" thickTop="1" x14ac:dyDescent="0.25">
      <c r="D101"/>
      <c r="E101"/>
      <c r="F101"/>
      <c r="G101"/>
      <c r="H101"/>
      <c r="I101"/>
    </row>
    <row r="102" spans="1:9" x14ac:dyDescent="0.25">
      <c r="D102"/>
      <c r="E102"/>
      <c r="F102"/>
      <c r="G102"/>
      <c r="H102"/>
      <c r="I102"/>
    </row>
    <row r="103" spans="1:9" x14ac:dyDescent="0.25">
      <c r="D103"/>
      <c r="E103"/>
      <c r="F103"/>
      <c r="G103"/>
      <c r="H103"/>
      <c r="I103"/>
    </row>
    <row r="104" spans="1:9" x14ac:dyDescent="0.25">
      <c r="D104"/>
      <c r="E104"/>
      <c r="F104"/>
      <c r="G104"/>
      <c r="H104"/>
      <c r="I104"/>
    </row>
    <row r="105" spans="1:9" x14ac:dyDescent="0.25">
      <c r="D105"/>
      <c r="E105"/>
      <c r="F105"/>
      <c r="G105"/>
      <c r="H105"/>
      <c r="I105"/>
    </row>
    <row r="106" spans="1:9" x14ac:dyDescent="0.25">
      <c r="D106"/>
      <c r="E106"/>
      <c r="F106"/>
      <c r="G106"/>
      <c r="H106"/>
      <c r="I106"/>
    </row>
    <row r="107" spans="1:9" ht="45" x14ac:dyDescent="0.25">
      <c r="A107" s="252" t="s">
        <v>578</v>
      </c>
      <c r="B107" s="233" t="s">
        <v>579</v>
      </c>
      <c r="C107" s="234"/>
      <c r="D107" s="195">
        <v>0</v>
      </c>
      <c r="E107" s="195">
        <v>27884068632</v>
      </c>
      <c r="F107" s="195">
        <v>29835953436</v>
      </c>
      <c r="G107" s="195">
        <v>31924470177</v>
      </c>
      <c r="H107" s="195">
        <v>34159183089</v>
      </c>
      <c r="I107" s="235"/>
    </row>
  </sheetData>
  <mergeCells count="16">
    <mergeCell ref="B91:B92"/>
    <mergeCell ref="B93:B94"/>
    <mergeCell ref="B95:B96"/>
    <mergeCell ref="B80:B83"/>
    <mergeCell ref="B85:B87"/>
    <mergeCell ref="A77:I77"/>
    <mergeCell ref="A1:I1"/>
    <mergeCell ref="A46:I46"/>
    <mergeCell ref="B49:B50"/>
    <mergeCell ref="B54:B56"/>
    <mergeCell ref="B64:B65"/>
    <mergeCell ref="B69:B70"/>
    <mergeCell ref="B4:B5"/>
    <mergeCell ref="B7:B9"/>
    <mergeCell ref="B22:B23"/>
    <mergeCell ref="A29:I29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0938C-FF2C-4CA9-AE12-8C110680DD93}">
  <sheetPr filterMode="1"/>
  <dimension ref="A1:I471"/>
  <sheetViews>
    <sheetView workbookViewId="0">
      <pane ySplit="1" topLeftCell="A187" activePane="bottomLeft" state="frozen"/>
      <selection pane="bottomLeft" activeCell="E187" sqref="E187"/>
    </sheetView>
  </sheetViews>
  <sheetFormatPr baseColWidth="10" defaultColWidth="11.42578125" defaultRowHeight="15" x14ac:dyDescent="0.25"/>
  <cols>
    <col min="1" max="1" width="19.42578125" style="2" customWidth="1"/>
    <col min="2" max="2" width="31.42578125" style="3" customWidth="1"/>
    <col min="3" max="3" width="39.7109375" style="3" customWidth="1"/>
    <col min="4" max="4" width="20" style="2" customWidth="1"/>
    <col min="5" max="6" width="19.42578125" style="3" customWidth="1"/>
    <col min="7" max="7" width="19.42578125" style="2" customWidth="1"/>
    <col min="8" max="8" width="15.42578125" style="2" customWidth="1"/>
    <col min="9" max="9" width="17.42578125" style="2" customWidth="1"/>
    <col min="10" max="16384" width="11.42578125" style="3"/>
  </cols>
  <sheetData>
    <row r="1" spans="1:9" s="2" customFormat="1" x14ac:dyDescent="0.25">
      <c r="A1" s="1" t="s">
        <v>580</v>
      </c>
      <c r="B1" s="1" t="s">
        <v>0</v>
      </c>
      <c r="C1" s="1" t="s">
        <v>581</v>
      </c>
      <c r="D1" s="1" t="s">
        <v>2</v>
      </c>
      <c r="E1" s="1" t="s">
        <v>582</v>
      </c>
      <c r="F1" s="1" t="s">
        <v>583</v>
      </c>
      <c r="G1" s="1" t="s">
        <v>584</v>
      </c>
      <c r="H1" s="1" t="s">
        <v>585</v>
      </c>
      <c r="I1" s="1" t="s">
        <v>586</v>
      </c>
    </row>
    <row r="2" spans="1:9" hidden="1" x14ac:dyDescent="0.25">
      <c r="A2" s="2" t="s">
        <v>587</v>
      </c>
      <c r="B2" s="3" t="s">
        <v>588</v>
      </c>
      <c r="C2" s="2" t="s">
        <v>589</v>
      </c>
      <c r="D2" s="2" t="s">
        <v>589</v>
      </c>
      <c r="I2" s="2">
        <v>2025</v>
      </c>
    </row>
    <row r="3" spans="1:9" hidden="1" x14ac:dyDescent="0.25">
      <c r="A3" s="2" t="s">
        <v>587</v>
      </c>
      <c r="B3" s="3" t="s">
        <v>588</v>
      </c>
      <c r="C3" s="2" t="s">
        <v>589</v>
      </c>
      <c r="D3" s="2" t="s">
        <v>589</v>
      </c>
      <c r="I3" s="2">
        <v>2026</v>
      </c>
    </row>
    <row r="4" spans="1:9" hidden="1" x14ac:dyDescent="0.25">
      <c r="A4" s="2" t="s">
        <v>587</v>
      </c>
      <c r="B4" s="3" t="s">
        <v>588</v>
      </c>
      <c r="C4" s="2" t="s">
        <v>589</v>
      </c>
      <c r="D4" s="2" t="s">
        <v>589</v>
      </c>
      <c r="I4" s="2">
        <v>2027</v>
      </c>
    </row>
    <row r="5" spans="1:9" hidden="1" x14ac:dyDescent="0.25">
      <c r="A5" s="2" t="s">
        <v>587</v>
      </c>
      <c r="B5" s="3" t="s">
        <v>588</v>
      </c>
      <c r="C5" s="2" t="s">
        <v>589</v>
      </c>
      <c r="D5" s="2" t="s">
        <v>589</v>
      </c>
      <c r="I5" s="2">
        <v>2028</v>
      </c>
    </row>
    <row r="6" spans="1:9" hidden="1" x14ac:dyDescent="0.25">
      <c r="A6" s="2" t="s">
        <v>587</v>
      </c>
      <c r="B6" s="3" t="s">
        <v>588</v>
      </c>
      <c r="C6" s="2" t="s">
        <v>589</v>
      </c>
      <c r="D6" s="2" t="s">
        <v>589</v>
      </c>
      <c r="I6" s="2">
        <v>2029</v>
      </c>
    </row>
    <row r="7" spans="1:9" hidden="1" x14ac:dyDescent="0.25">
      <c r="A7" s="2" t="s">
        <v>587</v>
      </c>
      <c r="B7" s="3" t="s">
        <v>588</v>
      </c>
      <c r="C7" s="2" t="s">
        <v>589</v>
      </c>
      <c r="D7" s="2" t="s">
        <v>589</v>
      </c>
      <c r="I7" s="2">
        <v>2025</v>
      </c>
    </row>
    <row r="8" spans="1:9" hidden="1" x14ac:dyDescent="0.25">
      <c r="A8" s="2" t="s">
        <v>587</v>
      </c>
      <c r="B8" s="3" t="s">
        <v>588</v>
      </c>
      <c r="C8" s="2" t="s">
        <v>589</v>
      </c>
      <c r="D8" s="2" t="s">
        <v>589</v>
      </c>
      <c r="I8" s="2">
        <v>2026</v>
      </c>
    </row>
    <row r="9" spans="1:9" hidden="1" x14ac:dyDescent="0.25">
      <c r="A9" s="2" t="s">
        <v>587</v>
      </c>
      <c r="B9" s="3" t="s">
        <v>588</v>
      </c>
      <c r="C9" s="2" t="s">
        <v>589</v>
      </c>
      <c r="D9" s="2" t="s">
        <v>589</v>
      </c>
      <c r="I9" s="2">
        <v>2027</v>
      </c>
    </row>
    <row r="10" spans="1:9" hidden="1" x14ac:dyDescent="0.25">
      <c r="A10" s="2" t="s">
        <v>587</v>
      </c>
      <c r="B10" s="3" t="s">
        <v>588</v>
      </c>
      <c r="C10" s="2" t="s">
        <v>589</v>
      </c>
      <c r="D10" s="2" t="s">
        <v>589</v>
      </c>
      <c r="I10" s="2">
        <v>2028</v>
      </c>
    </row>
    <row r="11" spans="1:9" hidden="1" x14ac:dyDescent="0.25">
      <c r="A11" s="2" t="s">
        <v>587</v>
      </c>
      <c r="B11" s="3" t="s">
        <v>588</v>
      </c>
      <c r="C11" s="2" t="s">
        <v>589</v>
      </c>
      <c r="D11" s="2" t="s">
        <v>589</v>
      </c>
      <c r="I11" s="2">
        <v>2029</v>
      </c>
    </row>
    <row r="12" spans="1:9" hidden="1" x14ac:dyDescent="0.25">
      <c r="A12" s="2" t="s">
        <v>587</v>
      </c>
      <c r="B12" s="3" t="s">
        <v>588</v>
      </c>
      <c r="C12" s="2" t="s">
        <v>589</v>
      </c>
      <c r="D12" s="2" t="s">
        <v>589</v>
      </c>
      <c r="I12" s="2">
        <v>2025</v>
      </c>
    </row>
    <row r="13" spans="1:9" hidden="1" x14ac:dyDescent="0.25">
      <c r="A13" s="2" t="s">
        <v>587</v>
      </c>
      <c r="B13" s="3" t="s">
        <v>588</v>
      </c>
      <c r="C13" s="2" t="s">
        <v>589</v>
      </c>
      <c r="D13" s="2" t="s">
        <v>589</v>
      </c>
      <c r="I13" s="2">
        <v>2026</v>
      </c>
    </row>
    <row r="14" spans="1:9" hidden="1" x14ac:dyDescent="0.25">
      <c r="A14" s="2" t="s">
        <v>587</v>
      </c>
      <c r="B14" s="3" t="s">
        <v>588</v>
      </c>
      <c r="C14" s="2" t="s">
        <v>589</v>
      </c>
      <c r="D14" s="2" t="s">
        <v>589</v>
      </c>
      <c r="I14" s="2">
        <v>2027</v>
      </c>
    </row>
    <row r="15" spans="1:9" hidden="1" x14ac:dyDescent="0.25">
      <c r="A15" s="2" t="s">
        <v>587</v>
      </c>
      <c r="B15" s="3" t="s">
        <v>588</v>
      </c>
      <c r="C15" s="2" t="s">
        <v>589</v>
      </c>
      <c r="D15" s="2" t="s">
        <v>589</v>
      </c>
      <c r="I15" s="2">
        <v>2028</v>
      </c>
    </row>
    <row r="16" spans="1:9" hidden="1" x14ac:dyDescent="0.25">
      <c r="A16" s="2" t="s">
        <v>587</v>
      </c>
      <c r="B16" s="3" t="s">
        <v>588</v>
      </c>
      <c r="C16" s="2" t="s">
        <v>589</v>
      </c>
      <c r="D16" s="2" t="s">
        <v>589</v>
      </c>
      <c r="I16" s="2">
        <v>2029</v>
      </c>
    </row>
    <row r="17" spans="1:9" hidden="1" x14ac:dyDescent="0.25">
      <c r="A17" s="2" t="s">
        <v>587</v>
      </c>
      <c r="B17" s="3" t="s">
        <v>588</v>
      </c>
      <c r="C17" s="2" t="s">
        <v>589</v>
      </c>
      <c r="D17" s="2" t="s">
        <v>589</v>
      </c>
      <c r="I17" s="2">
        <v>2025</v>
      </c>
    </row>
    <row r="18" spans="1:9" hidden="1" x14ac:dyDescent="0.25">
      <c r="A18" s="2" t="s">
        <v>587</v>
      </c>
      <c r="B18" s="3" t="s">
        <v>588</v>
      </c>
      <c r="C18" s="2" t="s">
        <v>589</v>
      </c>
      <c r="D18" s="2" t="s">
        <v>589</v>
      </c>
      <c r="I18" s="2">
        <v>2026</v>
      </c>
    </row>
    <row r="19" spans="1:9" hidden="1" x14ac:dyDescent="0.25">
      <c r="A19" s="2" t="s">
        <v>587</v>
      </c>
      <c r="B19" s="3" t="s">
        <v>588</v>
      </c>
      <c r="C19" s="2" t="s">
        <v>589</v>
      </c>
      <c r="D19" s="2" t="s">
        <v>589</v>
      </c>
      <c r="I19" s="2">
        <v>2027</v>
      </c>
    </row>
    <row r="20" spans="1:9" hidden="1" x14ac:dyDescent="0.25">
      <c r="A20" s="2" t="s">
        <v>587</v>
      </c>
      <c r="B20" s="3" t="s">
        <v>588</v>
      </c>
      <c r="C20" s="2" t="s">
        <v>589</v>
      </c>
      <c r="D20" s="2" t="s">
        <v>589</v>
      </c>
      <c r="I20" s="2">
        <v>2028</v>
      </c>
    </row>
    <row r="21" spans="1:9" hidden="1" x14ac:dyDescent="0.25">
      <c r="A21" s="2" t="s">
        <v>587</v>
      </c>
      <c r="B21" s="3" t="s">
        <v>588</v>
      </c>
      <c r="C21" s="2" t="s">
        <v>589</v>
      </c>
      <c r="D21" s="2" t="s">
        <v>589</v>
      </c>
      <c r="I21" s="2">
        <v>2029</v>
      </c>
    </row>
    <row r="22" spans="1:9" hidden="1" x14ac:dyDescent="0.25">
      <c r="A22" s="2" t="s">
        <v>587</v>
      </c>
      <c r="B22" s="3" t="s">
        <v>590</v>
      </c>
      <c r="C22" s="2" t="s">
        <v>589</v>
      </c>
      <c r="D22" s="2" t="s">
        <v>589</v>
      </c>
      <c r="I22" s="2">
        <v>2025</v>
      </c>
    </row>
    <row r="23" spans="1:9" hidden="1" x14ac:dyDescent="0.25">
      <c r="A23" s="2" t="s">
        <v>587</v>
      </c>
      <c r="B23" s="3" t="s">
        <v>590</v>
      </c>
      <c r="C23" s="2" t="s">
        <v>589</v>
      </c>
      <c r="D23" s="2" t="s">
        <v>589</v>
      </c>
      <c r="I23" s="2">
        <v>2026</v>
      </c>
    </row>
    <row r="24" spans="1:9" hidden="1" x14ac:dyDescent="0.25">
      <c r="A24" s="2" t="s">
        <v>587</v>
      </c>
      <c r="B24" s="3" t="s">
        <v>590</v>
      </c>
      <c r="C24" s="2" t="s">
        <v>589</v>
      </c>
      <c r="D24" s="2" t="s">
        <v>589</v>
      </c>
      <c r="I24" s="2">
        <v>2027</v>
      </c>
    </row>
    <row r="25" spans="1:9" hidden="1" x14ac:dyDescent="0.25">
      <c r="A25" s="2" t="s">
        <v>587</v>
      </c>
      <c r="B25" s="3" t="s">
        <v>590</v>
      </c>
      <c r="C25" s="2" t="s">
        <v>589</v>
      </c>
      <c r="D25" s="2" t="s">
        <v>589</v>
      </c>
      <c r="I25" s="2">
        <v>2028</v>
      </c>
    </row>
    <row r="26" spans="1:9" hidden="1" x14ac:dyDescent="0.25">
      <c r="A26" s="2" t="s">
        <v>587</v>
      </c>
      <c r="B26" s="3" t="s">
        <v>590</v>
      </c>
      <c r="C26" s="2" t="s">
        <v>589</v>
      </c>
      <c r="D26" s="2" t="s">
        <v>589</v>
      </c>
      <c r="I26" s="2">
        <v>2029</v>
      </c>
    </row>
    <row r="27" spans="1:9" hidden="1" x14ac:dyDescent="0.25">
      <c r="A27" s="2" t="s">
        <v>587</v>
      </c>
      <c r="B27" s="3" t="s">
        <v>590</v>
      </c>
      <c r="C27" s="2" t="s">
        <v>589</v>
      </c>
      <c r="D27" s="2" t="s">
        <v>589</v>
      </c>
      <c r="I27" s="2">
        <v>2025</v>
      </c>
    </row>
    <row r="28" spans="1:9" hidden="1" x14ac:dyDescent="0.25">
      <c r="A28" s="2" t="s">
        <v>587</v>
      </c>
      <c r="B28" s="3" t="s">
        <v>590</v>
      </c>
      <c r="C28" s="2" t="s">
        <v>589</v>
      </c>
      <c r="D28" s="2" t="s">
        <v>589</v>
      </c>
      <c r="I28" s="2">
        <v>2026</v>
      </c>
    </row>
    <row r="29" spans="1:9" hidden="1" x14ac:dyDescent="0.25">
      <c r="A29" s="2" t="s">
        <v>587</v>
      </c>
      <c r="B29" s="3" t="s">
        <v>590</v>
      </c>
      <c r="C29" s="2" t="s">
        <v>589</v>
      </c>
      <c r="D29" s="2" t="s">
        <v>589</v>
      </c>
      <c r="I29" s="2">
        <v>2027</v>
      </c>
    </row>
    <row r="30" spans="1:9" hidden="1" x14ac:dyDescent="0.25">
      <c r="A30" s="2" t="s">
        <v>587</v>
      </c>
      <c r="B30" s="3" t="s">
        <v>590</v>
      </c>
      <c r="C30" s="2" t="s">
        <v>589</v>
      </c>
      <c r="D30" s="2" t="s">
        <v>589</v>
      </c>
      <c r="I30" s="2">
        <v>2028</v>
      </c>
    </row>
    <row r="31" spans="1:9" hidden="1" x14ac:dyDescent="0.25">
      <c r="A31" s="2" t="s">
        <v>587</v>
      </c>
      <c r="B31" s="3" t="s">
        <v>590</v>
      </c>
      <c r="C31" s="2" t="s">
        <v>589</v>
      </c>
      <c r="D31" s="2" t="s">
        <v>589</v>
      </c>
      <c r="I31" s="2">
        <v>2029</v>
      </c>
    </row>
    <row r="32" spans="1:9" hidden="1" x14ac:dyDescent="0.25">
      <c r="A32" s="2" t="s">
        <v>587</v>
      </c>
      <c r="B32" s="3" t="s">
        <v>590</v>
      </c>
      <c r="C32" s="2" t="s">
        <v>589</v>
      </c>
      <c r="D32" s="2" t="s">
        <v>589</v>
      </c>
      <c r="I32" s="2">
        <v>2025</v>
      </c>
    </row>
    <row r="33" spans="1:9" hidden="1" x14ac:dyDescent="0.25">
      <c r="A33" s="2" t="s">
        <v>587</v>
      </c>
      <c r="B33" s="3" t="s">
        <v>590</v>
      </c>
      <c r="C33" s="2" t="s">
        <v>589</v>
      </c>
      <c r="D33" s="2" t="s">
        <v>589</v>
      </c>
      <c r="I33" s="2">
        <v>2026</v>
      </c>
    </row>
    <row r="34" spans="1:9" hidden="1" x14ac:dyDescent="0.25">
      <c r="A34" s="2" t="s">
        <v>587</v>
      </c>
      <c r="B34" s="3" t="s">
        <v>590</v>
      </c>
      <c r="C34" s="2" t="s">
        <v>589</v>
      </c>
      <c r="D34" s="2" t="s">
        <v>589</v>
      </c>
      <c r="I34" s="2">
        <v>2027</v>
      </c>
    </row>
    <row r="35" spans="1:9" hidden="1" x14ac:dyDescent="0.25">
      <c r="A35" s="2" t="s">
        <v>587</v>
      </c>
      <c r="B35" s="3" t="s">
        <v>590</v>
      </c>
      <c r="C35" s="2" t="s">
        <v>589</v>
      </c>
      <c r="D35" s="2" t="s">
        <v>589</v>
      </c>
      <c r="I35" s="2">
        <v>2028</v>
      </c>
    </row>
    <row r="36" spans="1:9" hidden="1" x14ac:dyDescent="0.25">
      <c r="A36" s="2" t="s">
        <v>587</v>
      </c>
      <c r="B36" s="3" t="s">
        <v>590</v>
      </c>
      <c r="C36" s="2" t="s">
        <v>589</v>
      </c>
      <c r="D36" s="2" t="s">
        <v>589</v>
      </c>
      <c r="I36" s="2">
        <v>2029</v>
      </c>
    </row>
    <row r="37" spans="1:9" hidden="1" x14ac:dyDescent="0.25">
      <c r="A37" s="2" t="s">
        <v>587</v>
      </c>
      <c r="B37" s="3" t="s">
        <v>590</v>
      </c>
      <c r="C37" s="2" t="s">
        <v>589</v>
      </c>
      <c r="D37" s="2" t="s">
        <v>589</v>
      </c>
      <c r="I37" s="2">
        <v>2025</v>
      </c>
    </row>
    <row r="38" spans="1:9" hidden="1" x14ac:dyDescent="0.25">
      <c r="A38" s="2" t="s">
        <v>587</v>
      </c>
      <c r="B38" s="3" t="s">
        <v>590</v>
      </c>
      <c r="C38" s="2" t="s">
        <v>589</v>
      </c>
      <c r="D38" s="2" t="s">
        <v>589</v>
      </c>
      <c r="I38" s="2">
        <v>2026</v>
      </c>
    </row>
    <row r="39" spans="1:9" hidden="1" x14ac:dyDescent="0.25">
      <c r="A39" s="2" t="s">
        <v>587</v>
      </c>
      <c r="B39" s="3" t="s">
        <v>590</v>
      </c>
      <c r="C39" s="2" t="s">
        <v>589</v>
      </c>
      <c r="D39" s="2" t="s">
        <v>589</v>
      </c>
      <c r="I39" s="2">
        <v>2027</v>
      </c>
    </row>
    <row r="40" spans="1:9" hidden="1" x14ac:dyDescent="0.25">
      <c r="A40" s="2" t="s">
        <v>587</v>
      </c>
      <c r="B40" s="3" t="s">
        <v>590</v>
      </c>
      <c r="C40" s="2" t="s">
        <v>589</v>
      </c>
      <c r="D40" s="2" t="s">
        <v>589</v>
      </c>
      <c r="I40" s="2">
        <v>2028</v>
      </c>
    </row>
    <row r="41" spans="1:9" hidden="1" x14ac:dyDescent="0.25">
      <c r="A41" s="2" t="s">
        <v>587</v>
      </c>
      <c r="B41" s="3" t="s">
        <v>590</v>
      </c>
      <c r="C41" s="2" t="s">
        <v>589</v>
      </c>
      <c r="D41" s="2" t="s">
        <v>589</v>
      </c>
      <c r="I41" s="2">
        <v>2029</v>
      </c>
    </row>
    <row r="42" spans="1:9" hidden="1" x14ac:dyDescent="0.25">
      <c r="A42" s="2" t="s">
        <v>587</v>
      </c>
      <c r="B42" s="3" t="s">
        <v>591</v>
      </c>
      <c r="C42" s="2" t="s">
        <v>589</v>
      </c>
      <c r="D42" s="2" t="s">
        <v>589</v>
      </c>
      <c r="I42" s="2">
        <v>2025</v>
      </c>
    </row>
    <row r="43" spans="1:9" hidden="1" x14ac:dyDescent="0.25">
      <c r="A43" s="2" t="s">
        <v>587</v>
      </c>
      <c r="B43" s="3" t="s">
        <v>591</v>
      </c>
      <c r="C43" s="2" t="s">
        <v>589</v>
      </c>
      <c r="D43" s="2" t="s">
        <v>589</v>
      </c>
      <c r="I43" s="2">
        <v>2026</v>
      </c>
    </row>
    <row r="44" spans="1:9" hidden="1" x14ac:dyDescent="0.25">
      <c r="A44" s="2" t="s">
        <v>587</v>
      </c>
      <c r="B44" s="3" t="s">
        <v>591</v>
      </c>
      <c r="C44" s="2" t="s">
        <v>589</v>
      </c>
      <c r="D44" s="2" t="s">
        <v>589</v>
      </c>
      <c r="I44" s="2">
        <v>2027</v>
      </c>
    </row>
    <row r="45" spans="1:9" hidden="1" x14ac:dyDescent="0.25">
      <c r="A45" s="2" t="s">
        <v>587</v>
      </c>
      <c r="B45" s="3" t="s">
        <v>591</v>
      </c>
      <c r="C45" s="2" t="s">
        <v>589</v>
      </c>
      <c r="D45" s="2" t="s">
        <v>589</v>
      </c>
      <c r="I45" s="2">
        <v>2028</v>
      </c>
    </row>
    <row r="46" spans="1:9" hidden="1" x14ac:dyDescent="0.25">
      <c r="A46" s="2" t="s">
        <v>587</v>
      </c>
      <c r="B46" s="3" t="s">
        <v>591</v>
      </c>
      <c r="C46" s="2" t="s">
        <v>589</v>
      </c>
      <c r="D46" s="2" t="s">
        <v>589</v>
      </c>
      <c r="I46" s="2">
        <v>2029</v>
      </c>
    </row>
    <row r="47" spans="1:9" hidden="1" x14ac:dyDescent="0.25">
      <c r="A47" s="2" t="s">
        <v>587</v>
      </c>
      <c r="B47" s="3" t="s">
        <v>591</v>
      </c>
      <c r="C47" s="2" t="s">
        <v>589</v>
      </c>
      <c r="D47" s="2" t="s">
        <v>589</v>
      </c>
      <c r="I47" s="2">
        <v>2025</v>
      </c>
    </row>
    <row r="48" spans="1:9" hidden="1" x14ac:dyDescent="0.25">
      <c r="A48" s="2" t="s">
        <v>587</v>
      </c>
      <c r="B48" s="3" t="s">
        <v>591</v>
      </c>
      <c r="C48" s="2" t="s">
        <v>589</v>
      </c>
      <c r="D48" s="2" t="s">
        <v>589</v>
      </c>
      <c r="I48" s="2">
        <v>2026</v>
      </c>
    </row>
    <row r="49" spans="1:9" hidden="1" x14ac:dyDescent="0.25">
      <c r="A49" s="2" t="s">
        <v>587</v>
      </c>
      <c r="B49" s="3" t="s">
        <v>591</v>
      </c>
      <c r="C49" s="2" t="s">
        <v>589</v>
      </c>
      <c r="D49" s="2" t="s">
        <v>589</v>
      </c>
      <c r="I49" s="2">
        <v>2027</v>
      </c>
    </row>
    <row r="50" spans="1:9" hidden="1" x14ac:dyDescent="0.25">
      <c r="A50" s="2" t="s">
        <v>587</v>
      </c>
      <c r="B50" s="3" t="s">
        <v>591</v>
      </c>
      <c r="C50" s="2" t="s">
        <v>589</v>
      </c>
      <c r="D50" s="2" t="s">
        <v>589</v>
      </c>
      <c r="I50" s="2">
        <v>2028</v>
      </c>
    </row>
    <row r="51" spans="1:9" hidden="1" x14ac:dyDescent="0.25">
      <c r="A51" s="2" t="s">
        <v>587</v>
      </c>
      <c r="B51" s="3" t="s">
        <v>591</v>
      </c>
      <c r="C51" s="2" t="s">
        <v>589</v>
      </c>
      <c r="D51" s="2" t="s">
        <v>589</v>
      </c>
      <c r="I51" s="2">
        <v>2029</v>
      </c>
    </row>
    <row r="52" spans="1:9" hidden="1" x14ac:dyDescent="0.25">
      <c r="A52" s="2" t="s">
        <v>587</v>
      </c>
      <c r="B52" s="3" t="s">
        <v>591</v>
      </c>
      <c r="C52" s="2" t="s">
        <v>589</v>
      </c>
      <c r="D52" s="2" t="s">
        <v>589</v>
      </c>
      <c r="I52" s="2">
        <v>2025</v>
      </c>
    </row>
    <row r="53" spans="1:9" hidden="1" x14ac:dyDescent="0.25">
      <c r="A53" s="2" t="s">
        <v>587</v>
      </c>
      <c r="B53" s="3" t="s">
        <v>591</v>
      </c>
      <c r="C53" s="2" t="s">
        <v>589</v>
      </c>
      <c r="D53" s="2" t="s">
        <v>589</v>
      </c>
      <c r="I53" s="2">
        <v>2026</v>
      </c>
    </row>
    <row r="54" spans="1:9" hidden="1" x14ac:dyDescent="0.25">
      <c r="A54" s="2" t="s">
        <v>587</v>
      </c>
      <c r="B54" s="3" t="s">
        <v>591</v>
      </c>
      <c r="C54" s="2" t="s">
        <v>589</v>
      </c>
      <c r="D54" s="2" t="s">
        <v>589</v>
      </c>
      <c r="I54" s="2">
        <v>2027</v>
      </c>
    </row>
    <row r="55" spans="1:9" hidden="1" x14ac:dyDescent="0.25">
      <c r="A55" s="2" t="s">
        <v>587</v>
      </c>
      <c r="B55" s="3" t="s">
        <v>591</v>
      </c>
      <c r="C55" s="2" t="s">
        <v>589</v>
      </c>
      <c r="D55" s="2" t="s">
        <v>589</v>
      </c>
      <c r="I55" s="2">
        <v>2028</v>
      </c>
    </row>
    <row r="56" spans="1:9" hidden="1" x14ac:dyDescent="0.25">
      <c r="A56" s="2" t="s">
        <v>587</v>
      </c>
      <c r="B56" s="3" t="s">
        <v>591</v>
      </c>
      <c r="C56" s="2" t="s">
        <v>589</v>
      </c>
      <c r="D56" s="2" t="s">
        <v>589</v>
      </c>
      <c r="I56" s="2">
        <v>2029</v>
      </c>
    </row>
    <row r="57" spans="1:9" hidden="1" x14ac:dyDescent="0.25">
      <c r="A57" s="2" t="s">
        <v>587</v>
      </c>
      <c r="B57" s="3" t="s">
        <v>591</v>
      </c>
      <c r="C57" s="2" t="s">
        <v>589</v>
      </c>
      <c r="D57" s="2" t="s">
        <v>589</v>
      </c>
      <c r="I57" s="2">
        <v>2025</v>
      </c>
    </row>
    <row r="58" spans="1:9" hidden="1" x14ac:dyDescent="0.25">
      <c r="A58" s="2" t="s">
        <v>587</v>
      </c>
      <c r="B58" s="3" t="s">
        <v>591</v>
      </c>
      <c r="C58" s="2" t="s">
        <v>589</v>
      </c>
      <c r="D58" s="2" t="s">
        <v>589</v>
      </c>
      <c r="I58" s="2">
        <v>2026</v>
      </c>
    </row>
    <row r="59" spans="1:9" hidden="1" x14ac:dyDescent="0.25">
      <c r="A59" s="2" t="s">
        <v>587</v>
      </c>
      <c r="B59" s="3" t="s">
        <v>591</v>
      </c>
      <c r="C59" s="2" t="s">
        <v>589</v>
      </c>
      <c r="D59" s="2" t="s">
        <v>589</v>
      </c>
      <c r="I59" s="2">
        <v>2027</v>
      </c>
    </row>
    <row r="60" spans="1:9" hidden="1" x14ac:dyDescent="0.25">
      <c r="A60" s="2" t="s">
        <v>587</v>
      </c>
      <c r="B60" s="3" t="s">
        <v>591</v>
      </c>
      <c r="C60" s="2" t="s">
        <v>589</v>
      </c>
      <c r="D60" s="2" t="s">
        <v>589</v>
      </c>
      <c r="I60" s="2">
        <v>2028</v>
      </c>
    </row>
    <row r="61" spans="1:9" hidden="1" x14ac:dyDescent="0.25">
      <c r="A61" s="2" t="s">
        <v>587</v>
      </c>
      <c r="B61" s="3" t="s">
        <v>591</v>
      </c>
      <c r="C61" s="2" t="s">
        <v>589</v>
      </c>
      <c r="D61" s="2" t="s">
        <v>589</v>
      </c>
      <c r="I61" s="2">
        <v>2029</v>
      </c>
    </row>
    <row r="62" spans="1:9" hidden="1" x14ac:dyDescent="0.25">
      <c r="A62" s="2" t="s">
        <v>587</v>
      </c>
      <c r="B62" s="3" t="s">
        <v>592</v>
      </c>
      <c r="C62" s="2" t="s">
        <v>589</v>
      </c>
      <c r="D62" s="2" t="s">
        <v>589</v>
      </c>
      <c r="I62" s="2">
        <v>2025</v>
      </c>
    </row>
    <row r="63" spans="1:9" hidden="1" x14ac:dyDescent="0.25">
      <c r="A63" s="2" t="s">
        <v>587</v>
      </c>
      <c r="B63" s="3" t="s">
        <v>592</v>
      </c>
      <c r="C63" s="2" t="s">
        <v>589</v>
      </c>
      <c r="D63" s="2" t="s">
        <v>589</v>
      </c>
      <c r="I63" s="2">
        <v>2026</v>
      </c>
    </row>
    <row r="64" spans="1:9" hidden="1" x14ac:dyDescent="0.25">
      <c r="A64" s="2" t="s">
        <v>587</v>
      </c>
      <c r="B64" s="3" t="s">
        <v>592</v>
      </c>
      <c r="C64" s="2" t="s">
        <v>589</v>
      </c>
      <c r="D64" s="2" t="s">
        <v>589</v>
      </c>
      <c r="I64" s="2">
        <v>2027</v>
      </c>
    </row>
    <row r="65" spans="1:9" hidden="1" x14ac:dyDescent="0.25">
      <c r="A65" s="2" t="s">
        <v>587</v>
      </c>
      <c r="B65" s="3" t="s">
        <v>592</v>
      </c>
      <c r="C65" s="2" t="s">
        <v>589</v>
      </c>
      <c r="D65" s="2" t="s">
        <v>589</v>
      </c>
      <c r="I65" s="2">
        <v>2028</v>
      </c>
    </row>
    <row r="66" spans="1:9" hidden="1" x14ac:dyDescent="0.25">
      <c r="A66" s="2" t="s">
        <v>587</v>
      </c>
      <c r="B66" s="3" t="s">
        <v>592</v>
      </c>
      <c r="C66" s="2" t="s">
        <v>589</v>
      </c>
      <c r="D66" s="2" t="s">
        <v>589</v>
      </c>
      <c r="I66" s="2">
        <v>2029</v>
      </c>
    </row>
    <row r="67" spans="1:9" hidden="1" x14ac:dyDescent="0.25">
      <c r="A67" s="2" t="s">
        <v>587</v>
      </c>
      <c r="B67" s="3" t="s">
        <v>592</v>
      </c>
      <c r="C67" s="2" t="s">
        <v>589</v>
      </c>
      <c r="D67" s="2" t="s">
        <v>589</v>
      </c>
      <c r="I67" s="2">
        <v>2025</v>
      </c>
    </row>
    <row r="68" spans="1:9" hidden="1" x14ac:dyDescent="0.25">
      <c r="A68" s="2" t="s">
        <v>587</v>
      </c>
      <c r="B68" s="3" t="s">
        <v>592</v>
      </c>
      <c r="C68" s="2" t="s">
        <v>589</v>
      </c>
      <c r="D68" s="2" t="s">
        <v>589</v>
      </c>
      <c r="I68" s="2">
        <v>2026</v>
      </c>
    </row>
    <row r="69" spans="1:9" hidden="1" x14ac:dyDescent="0.25">
      <c r="A69" s="2" t="s">
        <v>587</v>
      </c>
      <c r="B69" s="3" t="s">
        <v>592</v>
      </c>
      <c r="C69" s="2" t="s">
        <v>589</v>
      </c>
      <c r="D69" s="2" t="s">
        <v>589</v>
      </c>
      <c r="I69" s="2">
        <v>2027</v>
      </c>
    </row>
    <row r="70" spans="1:9" hidden="1" x14ac:dyDescent="0.25">
      <c r="A70" s="2" t="s">
        <v>587</v>
      </c>
      <c r="B70" s="3" t="s">
        <v>592</v>
      </c>
      <c r="C70" s="2" t="s">
        <v>589</v>
      </c>
      <c r="D70" s="2" t="s">
        <v>589</v>
      </c>
      <c r="I70" s="2">
        <v>2028</v>
      </c>
    </row>
    <row r="71" spans="1:9" hidden="1" x14ac:dyDescent="0.25">
      <c r="A71" s="2" t="s">
        <v>587</v>
      </c>
      <c r="B71" s="3" t="s">
        <v>592</v>
      </c>
      <c r="C71" s="2" t="s">
        <v>589</v>
      </c>
      <c r="D71" s="2" t="s">
        <v>589</v>
      </c>
      <c r="I71" s="2">
        <v>2029</v>
      </c>
    </row>
    <row r="72" spans="1:9" hidden="1" x14ac:dyDescent="0.25">
      <c r="A72" s="2" t="s">
        <v>587</v>
      </c>
      <c r="B72" s="3" t="s">
        <v>592</v>
      </c>
      <c r="C72" s="2" t="s">
        <v>589</v>
      </c>
      <c r="D72" s="2" t="s">
        <v>589</v>
      </c>
      <c r="I72" s="2">
        <v>2025</v>
      </c>
    </row>
    <row r="73" spans="1:9" hidden="1" x14ac:dyDescent="0.25">
      <c r="A73" s="2" t="s">
        <v>587</v>
      </c>
      <c r="B73" s="3" t="s">
        <v>592</v>
      </c>
      <c r="C73" s="2" t="s">
        <v>589</v>
      </c>
      <c r="D73" s="2" t="s">
        <v>589</v>
      </c>
      <c r="I73" s="2">
        <v>2026</v>
      </c>
    </row>
    <row r="74" spans="1:9" hidden="1" x14ac:dyDescent="0.25">
      <c r="A74" s="2" t="s">
        <v>587</v>
      </c>
      <c r="B74" s="3" t="s">
        <v>592</v>
      </c>
      <c r="C74" s="2" t="s">
        <v>589</v>
      </c>
      <c r="D74" s="2" t="s">
        <v>589</v>
      </c>
      <c r="I74" s="2">
        <v>2027</v>
      </c>
    </row>
    <row r="75" spans="1:9" hidden="1" x14ac:dyDescent="0.25">
      <c r="A75" s="2" t="s">
        <v>587</v>
      </c>
      <c r="B75" s="3" t="s">
        <v>592</v>
      </c>
      <c r="C75" s="2" t="s">
        <v>589</v>
      </c>
      <c r="D75" s="2" t="s">
        <v>589</v>
      </c>
      <c r="I75" s="2">
        <v>2028</v>
      </c>
    </row>
    <row r="76" spans="1:9" hidden="1" x14ac:dyDescent="0.25">
      <c r="A76" s="2" t="s">
        <v>587</v>
      </c>
      <c r="B76" s="3" t="s">
        <v>592</v>
      </c>
      <c r="C76" s="2" t="s">
        <v>589</v>
      </c>
      <c r="D76" s="2" t="s">
        <v>589</v>
      </c>
      <c r="I76" s="2">
        <v>2029</v>
      </c>
    </row>
    <row r="77" spans="1:9" hidden="1" x14ac:dyDescent="0.25">
      <c r="A77" s="2" t="s">
        <v>587</v>
      </c>
      <c r="B77" s="3" t="s">
        <v>592</v>
      </c>
      <c r="C77" s="2" t="s">
        <v>589</v>
      </c>
      <c r="D77" s="2" t="s">
        <v>589</v>
      </c>
      <c r="I77" s="2">
        <v>2025</v>
      </c>
    </row>
    <row r="78" spans="1:9" hidden="1" x14ac:dyDescent="0.25">
      <c r="A78" s="2" t="s">
        <v>587</v>
      </c>
      <c r="B78" s="3" t="s">
        <v>592</v>
      </c>
      <c r="C78" s="2" t="s">
        <v>589</v>
      </c>
      <c r="D78" s="2" t="s">
        <v>589</v>
      </c>
      <c r="I78" s="2">
        <v>2026</v>
      </c>
    </row>
    <row r="79" spans="1:9" hidden="1" x14ac:dyDescent="0.25">
      <c r="A79" s="2" t="s">
        <v>587</v>
      </c>
      <c r="B79" s="3" t="s">
        <v>592</v>
      </c>
      <c r="C79" s="2" t="s">
        <v>589</v>
      </c>
      <c r="D79" s="2" t="s">
        <v>589</v>
      </c>
      <c r="I79" s="2">
        <v>2027</v>
      </c>
    </row>
    <row r="80" spans="1:9" hidden="1" x14ac:dyDescent="0.25">
      <c r="A80" s="2" t="s">
        <v>587</v>
      </c>
      <c r="B80" s="3" t="s">
        <v>592</v>
      </c>
      <c r="C80" s="2" t="s">
        <v>589</v>
      </c>
      <c r="D80" s="2" t="s">
        <v>589</v>
      </c>
      <c r="I80" s="2">
        <v>2028</v>
      </c>
    </row>
    <row r="81" spans="1:9" hidden="1" x14ac:dyDescent="0.25">
      <c r="A81" s="2" t="s">
        <v>587</v>
      </c>
      <c r="B81" s="3" t="s">
        <v>592</v>
      </c>
      <c r="C81" s="2" t="s">
        <v>589</v>
      </c>
      <c r="D81" s="2" t="s">
        <v>589</v>
      </c>
      <c r="I81" s="2">
        <v>2029</v>
      </c>
    </row>
    <row r="82" spans="1:9" hidden="1" x14ac:dyDescent="0.25">
      <c r="A82" s="2" t="s">
        <v>593</v>
      </c>
      <c r="B82" s="3" t="s">
        <v>588</v>
      </c>
      <c r="C82" s="3" t="s">
        <v>27</v>
      </c>
      <c r="D82" s="2" t="s">
        <v>589</v>
      </c>
      <c r="I82" s="2">
        <v>2025</v>
      </c>
    </row>
    <row r="83" spans="1:9" hidden="1" x14ac:dyDescent="0.25">
      <c r="A83" s="2" t="s">
        <v>593</v>
      </c>
      <c r="B83" s="3" t="s">
        <v>588</v>
      </c>
      <c r="C83" s="3" t="s">
        <v>27</v>
      </c>
      <c r="D83" s="2" t="s">
        <v>589</v>
      </c>
      <c r="I83" s="2">
        <v>2026</v>
      </c>
    </row>
    <row r="84" spans="1:9" hidden="1" x14ac:dyDescent="0.25">
      <c r="A84" s="2" t="s">
        <v>593</v>
      </c>
      <c r="B84" s="3" t="s">
        <v>588</v>
      </c>
      <c r="C84" s="3" t="s">
        <v>27</v>
      </c>
      <c r="D84" s="2" t="s">
        <v>589</v>
      </c>
      <c r="I84" s="2">
        <v>2027</v>
      </c>
    </row>
    <row r="85" spans="1:9" hidden="1" x14ac:dyDescent="0.25">
      <c r="A85" s="2" t="s">
        <v>593</v>
      </c>
      <c r="B85" s="3" t="s">
        <v>588</v>
      </c>
      <c r="C85" s="3" t="s">
        <v>27</v>
      </c>
      <c r="D85" s="2" t="s">
        <v>589</v>
      </c>
      <c r="I85" s="2">
        <v>2028</v>
      </c>
    </row>
    <row r="86" spans="1:9" hidden="1" x14ac:dyDescent="0.25">
      <c r="A86" s="2" t="s">
        <v>593</v>
      </c>
      <c r="B86" s="3" t="s">
        <v>588</v>
      </c>
      <c r="C86" s="3" t="s">
        <v>27</v>
      </c>
      <c r="D86" s="2" t="s">
        <v>589</v>
      </c>
      <c r="I86" s="2">
        <v>2029</v>
      </c>
    </row>
    <row r="87" spans="1:9" hidden="1" x14ac:dyDescent="0.25">
      <c r="A87" s="2" t="s">
        <v>593</v>
      </c>
      <c r="B87" s="3" t="s">
        <v>588</v>
      </c>
      <c r="C87" s="4" t="s">
        <v>594</v>
      </c>
      <c r="D87" s="2" t="s">
        <v>589</v>
      </c>
      <c r="I87" s="2">
        <v>2025</v>
      </c>
    </row>
    <row r="88" spans="1:9" hidden="1" x14ac:dyDescent="0.25">
      <c r="A88" s="2" t="s">
        <v>593</v>
      </c>
      <c r="B88" s="3" t="s">
        <v>588</v>
      </c>
      <c r="C88" s="4" t="s">
        <v>594</v>
      </c>
      <c r="D88" s="2" t="s">
        <v>589</v>
      </c>
      <c r="I88" s="2">
        <v>2026</v>
      </c>
    </row>
    <row r="89" spans="1:9" hidden="1" x14ac:dyDescent="0.25">
      <c r="A89" s="2" t="s">
        <v>593</v>
      </c>
      <c r="B89" s="3" t="s">
        <v>588</v>
      </c>
      <c r="C89" s="4" t="s">
        <v>594</v>
      </c>
      <c r="D89" s="2" t="s">
        <v>589</v>
      </c>
      <c r="I89" s="2">
        <v>2027</v>
      </c>
    </row>
    <row r="90" spans="1:9" hidden="1" x14ac:dyDescent="0.25">
      <c r="A90" s="2" t="s">
        <v>593</v>
      </c>
      <c r="B90" s="3" t="s">
        <v>588</v>
      </c>
      <c r="C90" s="4" t="s">
        <v>594</v>
      </c>
      <c r="D90" s="2" t="s">
        <v>589</v>
      </c>
      <c r="I90" s="2">
        <v>2028</v>
      </c>
    </row>
    <row r="91" spans="1:9" hidden="1" x14ac:dyDescent="0.25">
      <c r="A91" s="2" t="s">
        <v>593</v>
      </c>
      <c r="B91" s="3" t="s">
        <v>588</v>
      </c>
      <c r="C91" s="4" t="s">
        <v>594</v>
      </c>
      <c r="D91" s="2" t="s">
        <v>589</v>
      </c>
      <c r="I91" s="2">
        <v>2029</v>
      </c>
    </row>
    <row r="92" spans="1:9" hidden="1" x14ac:dyDescent="0.25">
      <c r="A92" s="2" t="s">
        <v>593</v>
      </c>
      <c r="B92" s="3" t="s">
        <v>590</v>
      </c>
      <c r="C92" s="3" t="s">
        <v>595</v>
      </c>
      <c r="D92" s="3"/>
      <c r="I92" s="2">
        <v>2025</v>
      </c>
    </row>
    <row r="93" spans="1:9" hidden="1" x14ac:dyDescent="0.25">
      <c r="A93" s="2" t="s">
        <v>593</v>
      </c>
      <c r="B93" s="3" t="s">
        <v>590</v>
      </c>
      <c r="C93" s="3" t="s">
        <v>595</v>
      </c>
      <c r="D93" s="3"/>
      <c r="I93" s="2">
        <v>2026</v>
      </c>
    </row>
    <row r="94" spans="1:9" hidden="1" x14ac:dyDescent="0.25">
      <c r="A94" s="2" t="s">
        <v>593</v>
      </c>
      <c r="B94" s="3" t="s">
        <v>590</v>
      </c>
      <c r="C94" s="3" t="s">
        <v>595</v>
      </c>
      <c r="D94" s="3"/>
      <c r="I94" s="2">
        <v>2027</v>
      </c>
    </row>
    <row r="95" spans="1:9" hidden="1" x14ac:dyDescent="0.25">
      <c r="A95" s="2" t="s">
        <v>593</v>
      </c>
      <c r="B95" s="3" t="s">
        <v>590</v>
      </c>
      <c r="C95" s="3" t="s">
        <v>595</v>
      </c>
      <c r="D95" s="3"/>
      <c r="I95" s="2">
        <v>2028</v>
      </c>
    </row>
    <row r="96" spans="1:9" hidden="1" x14ac:dyDescent="0.25">
      <c r="A96" s="2" t="s">
        <v>593</v>
      </c>
      <c r="B96" s="3" t="s">
        <v>590</v>
      </c>
      <c r="C96" s="3" t="s">
        <v>595</v>
      </c>
      <c r="D96" s="3"/>
      <c r="I96" s="2">
        <v>2029</v>
      </c>
    </row>
    <row r="97" spans="1:9" hidden="1" x14ac:dyDescent="0.25">
      <c r="A97" s="2" t="s">
        <v>593</v>
      </c>
      <c r="B97" s="3" t="s">
        <v>590</v>
      </c>
      <c r="C97" s="3" t="s">
        <v>596</v>
      </c>
      <c r="D97" s="2" t="s">
        <v>589</v>
      </c>
      <c r="I97" s="2">
        <v>2025</v>
      </c>
    </row>
    <row r="98" spans="1:9" hidden="1" x14ac:dyDescent="0.25">
      <c r="A98" s="2" t="s">
        <v>593</v>
      </c>
      <c r="B98" s="3" t="s">
        <v>590</v>
      </c>
      <c r="C98" s="3" t="s">
        <v>596</v>
      </c>
      <c r="D98" s="2" t="s">
        <v>589</v>
      </c>
      <c r="I98" s="2">
        <v>2026</v>
      </c>
    </row>
    <row r="99" spans="1:9" hidden="1" x14ac:dyDescent="0.25">
      <c r="A99" s="2" t="s">
        <v>593</v>
      </c>
      <c r="B99" s="3" t="s">
        <v>590</v>
      </c>
      <c r="C99" s="3" t="s">
        <v>596</v>
      </c>
      <c r="D99" s="2" t="s">
        <v>589</v>
      </c>
      <c r="I99" s="2">
        <v>2027</v>
      </c>
    </row>
    <row r="100" spans="1:9" hidden="1" x14ac:dyDescent="0.25">
      <c r="A100" s="2" t="s">
        <v>593</v>
      </c>
      <c r="B100" s="3" t="s">
        <v>590</v>
      </c>
      <c r="C100" s="3" t="s">
        <v>596</v>
      </c>
      <c r="D100" s="2" t="s">
        <v>589</v>
      </c>
      <c r="I100" s="2">
        <v>2028</v>
      </c>
    </row>
    <row r="101" spans="1:9" hidden="1" x14ac:dyDescent="0.25">
      <c r="A101" s="2" t="s">
        <v>593</v>
      </c>
      <c r="B101" s="3" t="s">
        <v>590</v>
      </c>
      <c r="C101" s="3" t="s">
        <v>596</v>
      </c>
      <c r="D101" s="2" t="s">
        <v>589</v>
      </c>
      <c r="I101" s="2">
        <v>2029</v>
      </c>
    </row>
    <row r="102" spans="1:9" hidden="1" x14ac:dyDescent="0.25">
      <c r="A102" s="2" t="s">
        <v>593</v>
      </c>
      <c r="B102" s="3" t="s">
        <v>590</v>
      </c>
      <c r="C102" s="3" t="s">
        <v>597</v>
      </c>
      <c r="D102" s="2" t="s">
        <v>589</v>
      </c>
      <c r="I102" s="2">
        <v>2025</v>
      </c>
    </row>
    <row r="103" spans="1:9" hidden="1" x14ac:dyDescent="0.25">
      <c r="A103" s="2" t="s">
        <v>593</v>
      </c>
      <c r="B103" s="3" t="s">
        <v>590</v>
      </c>
      <c r="C103" s="3" t="s">
        <v>597</v>
      </c>
      <c r="D103" s="2" t="s">
        <v>589</v>
      </c>
      <c r="I103" s="2">
        <v>2026</v>
      </c>
    </row>
    <row r="104" spans="1:9" hidden="1" x14ac:dyDescent="0.25">
      <c r="A104" s="2" t="s">
        <v>593</v>
      </c>
      <c r="B104" s="3" t="s">
        <v>590</v>
      </c>
      <c r="C104" s="3" t="s">
        <v>597</v>
      </c>
      <c r="D104" s="2" t="s">
        <v>589</v>
      </c>
      <c r="I104" s="2">
        <v>2027</v>
      </c>
    </row>
    <row r="105" spans="1:9" hidden="1" x14ac:dyDescent="0.25">
      <c r="A105" s="2" t="s">
        <v>593</v>
      </c>
      <c r="B105" s="3" t="s">
        <v>590</v>
      </c>
      <c r="C105" s="3" t="s">
        <v>597</v>
      </c>
      <c r="D105" s="2" t="s">
        <v>589</v>
      </c>
      <c r="I105" s="2">
        <v>2028</v>
      </c>
    </row>
    <row r="106" spans="1:9" hidden="1" x14ac:dyDescent="0.25">
      <c r="A106" s="2" t="s">
        <v>593</v>
      </c>
      <c r="B106" s="3" t="s">
        <v>590</v>
      </c>
      <c r="C106" s="3" t="s">
        <v>597</v>
      </c>
      <c r="D106" s="2" t="s">
        <v>589</v>
      </c>
      <c r="I106" s="2">
        <v>2029</v>
      </c>
    </row>
    <row r="107" spans="1:9" hidden="1" x14ac:dyDescent="0.25">
      <c r="A107" s="2" t="s">
        <v>593</v>
      </c>
      <c r="B107" s="3" t="s">
        <v>591</v>
      </c>
      <c r="C107" s="3" t="s">
        <v>598</v>
      </c>
      <c r="D107" s="2" t="s">
        <v>589</v>
      </c>
      <c r="I107" s="2">
        <v>2025</v>
      </c>
    </row>
    <row r="108" spans="1:9" hidden="1" x14ac:dyDescent="0.25">
      <c r="A108" s="2" t="s">
        <v>593</v>
      </c>
      <c r="B108" s="3" t="s">
        <v>591</v>
      </c>
      <c r="C108" s="3" t="s">
        <v>598</v>
      </c>
      <c r="D108" s="2" t="s">
        <v>589</v>
      </c>
      <c r="I108" s="2">
        <v>2026</v>
      </c>
    </row>
    <row r="109" spans="1:9" hidden="1" x14ac:dyDescent="0.25">
      <c r="A109" s="2" t="s">
        <v>593</v>
      </c>
      <c r="B109" s="3" t="s">
        <v>591</v>
      </c>
      <c r="C109" s="3" t="s">
        <v>598</v>
      </c>
      <c r="D109" s="2" t="s">
        <v>589</v>
      </c>
      <c r="I109" s="2">
        <v>2027</v>
      </c>
    </row>
    <row r="110" spans="1:9" hidden="1" x14ac:dyDescent="0.25">
      <c r="A110" s="2" t="s">
        <v>593</v>
      </c>
      <c r="B110" s="3" t="s">
        <v>591</v>
      </c>
      <c r="C110" s="3" t="s">
        <v>598</v>
      </c>
      <c r="D110" s="2" t="s">
        <v>589</v>
      </c>
      <c r="I110" s="2">
        <v>2028</v>
      </c>
    </row>
    <row r="111" spans="1:9" hidden="1" x14ac:dyDescent="0.25">
      <c r="A111" s="2" t="s">
        <v>593</v>
      </c>
      <c r="B111" s="3" t="s">
        <v>591</v>
      </c>
      <c r="C111" s="3" t="s">
        <v>598</v>
      </c>
      <c r="D111" s="2" t="s">
        <v>589</v>
      </c>
      <c r="I111" s="2">
        <v>2029</v>
      </c>
    </row>
    <row r="112" spans="1:9" hidden="1" x14ac:dyDescent="0.25">
      <c r="A112" s="2" t="s">
        <v>593</v>
      </c>
      <c r="B112" s="3" t="s">
        <v>591</v>
      </c>
      <c r="C112" s="3" t="s">
        <v>599</v>
      </c>
      <c r="D112" s="2" t="s">
        <v>589</v>
      </c>
      <c r="I112" s="2">
        <v>2025</v>
      </c>
    </row>
    <row r="113" spans="1:9" hidden="1" x14ac:dyDescent="0.25">
      <c r="A113" s="2" t="s">
        <v>593</v>
      </c>
      <c r="B113" s="3" t="s">
        <v>591</v>
      </c>
      <c r="C113" s="3" t="s">
        <v>599</v>
      </c>
      <c r="D113" s="2" t="s">
        <v>589</v>
      </c>
      <c r="I113" s="2">
        <v>2026</v>
      </c>
    </row>
    <row r="114" spans="1:9" hidden="1" x14ac:dyDescent="0.25">
      <c r="A114" s="2" t="s">
        <v>593</v>
      </c>
      <c r="B114" s="3" t="s">
        <v>591</v>
      </c>
      <c r="C114" s="3" t="s">
        <v>599</v>
      </c>
      <c r="D114" s="2" t="s">
        <v>589</v>
      </c>
      <c r="I114" s="2">
        <v>2027</v>
      </c>
    </row>
    <row r="115" spans="1:9" hidden="1" x14ac:dyDescent="0.25">
      <c r="A115" s="2" t="s">
        <v>593</v>
      </c>
      <c r="B115" s="3" t="s">
        <v>591</v>
      </c>
      <c r="C115" s="3" t="s">
        <v>599</v>
      </c>
      <c r="D115" s="2" t="s">
        <v>589</v>
      </c>
      <c r="I115" s="2">
        <v>2028</v>
      </c>
    </row>
    <row r="116" spans="1:9" hidden="1" x14ac:dyDescent="0.25">
      <c r="A116" s="2" t="s">
        <v>593</v>
      </c>
      <c r="B116" s="3" t="s">
        <v>591</v>
      </c>
      <c r="C116" s="3" t="s">
        <v>599</v>
      </c>
      <c r="D116" s="2" t="s">
        <v>589</v>
      </c>
      <c r="I116" s="2">
        <v>2029</v>
      </c>
    </row>
    <row r="117" spans="1:9" hidden="1" x14ac:dyDescent="0.25">
      <c r="A117" s="2" t="s">
        <v>593</v>
      </c>
      <c r="B117" s="3" t="s">
        <v>591</v>
      </c>
      <c r="C117" s="3" t="s">
        <v>600</v>
      </c>
      <c r="D117" s="2" t="s">
        <v>589</v>
      </c>
      <c r="I117" s="2">
        <v>2025</v>
      </c>
    </row>
    <row r="118" spans="1:9" hidden="1" x14ac:dyDescent="0.25">
      <c r="A118" s="2" t="s">
        <v>593</v>
      </c>
      <c r="B118" s="3" t="s">
        <v>591</v>
      </c>
      <c r="C118" s="3" t="s">
        <v>600</v>
      </c>
      <c r="D118" s="2" t="s">
        <v>589</v>
      </c>
      <c r="I118" s="2">
        <v>2026</v>
      </c>
    </row>
    <row r="119" spans="1:9" hidden="1" x14ac:dyDescent="0.25">
      <c r="A119" s="2" t="s">
        <v>593</v>
      </c>
      <c r="B119" s="3" t="s">
        <v>591</v>
      </c>
      <c r="C119" s="3" t="s">
        <v>600</v>
      </c>
      <c r="D119" s="2" t="s">
        <v>589</v>
      </c>
      <c r="I119" s="2">
        <v>2027</v>
      </c>
    </row>
    <row r="120" spans="1:9" hidden="1" x14ac:dyDescent="0.25">
      <c r="A120" s="2" t="s">
        <v>593</v>
      </c>
      <c r="B120" s="3" t="s">
        <v>591</v>
      </c>
      <c r="C120" s="3" t="s">
        <v>600</v>
      </c>
      <c r="D120" s="2" t="s">
        <v>589</v>
      </c>
      <c r="I120" s="2">
        <v>2028</v>
      </c>
    </row>
    <row r="121" spans="1:9" hidden="1" x14ac:dyDescent="0.25">
      <c r="A121" s="2" t="s">
        <v>593</v>
      </c>
      <c r="B121" s="3" t="s">
        <v>591</v>
      </c>
      <c r="C121" s="3" t="s">
        <v>600</v>
      </c>
      <c r="D121" s="2" t="s">
        <v>589</v>
      </c>
      <c r="I121" s="2">
        <v>2029</v>
      </c>
    </row>
    <row r="122" spans="1:9" hidden="1" x14ac:dyDescent="0.25">
      <c r="A122" s="2" t="s">
        <v>593</v>
      </c>
      <c r="B122" s="3" t="s">
        <v>591</v>
      </c>
      <c r="C122" s="3" t="s">
        <v>601</v>
      </c>
      <c r="D122" s="2" t="s">
        <v>589</v>
      </c>
      <c r="I122" s="2">
        <v>2025</v>
      </c>
    </row>
    <row r="123" spans="1:9" hidden="1" x14ac:dyDescent="0.25">
      <c r="A123" s="2" t="s">
        <v>593</v>
      </c>
      <c r="B123" s="3" t="s">
        <v>591</v>
      </c>
      <c r="C123" s="3" t="s">
        <v>601</v>
      </c>
      <c r="D123" s="2" t="s">
        <v>589</v>
      </c>
      <c r="I123" s="2">
        <v>2026</v>
      </c>
    </row>
    <row r="124" spans="1:9" hidden="1" x14ac:dyDescent="0.25">
      <c r="A124" s="2" t="s">
        <v>593</v>
      </c>
      <c r="B124" s="3" t="s">
        <v>591</v>
      </c>
      <c r="C124" s="3" t="s">
        <v>601</v>
      </c>
      <c r="D124" s="2" t="s">
        <v>589</v>
      </c>
      <c r="I124" s="2">
        <v>2027</v>
      </c>
    </row>
    <row r="125" spans="1:9" hidden="1" x14ac:dyDescent="0.25">
      <c r="A125" s="2" t="s">
        <v>593</v>
      </c>
      <c r="B125" s="3" t="s">
        <v>591</v>
      </c>
      <c r="C125" s="3" t="s">
        <v>601</v>
      </c>
      <c r="D125" s="2" t="s">
        <v>589</v>
      </c>
      <c r="I125" s="2">
        <v>2028</v>
      </c>
    </row>
    <row r="126" spans="1:9" hidden="1" x14ac:dyDescent="0.25">
      <c r="A126" s="2" t="s">
        <v>593</v>
      </c>
      <c r="B126" s="3" t="s">
        <v>591</v>
      </c>
      <c r="C126" s="3" t="s">
        <v>601</v>
      </c>
      <c r="D126" s="2" t="s">
        <v>589</v>
      </c>
      <c r="I126" s="2">
        <v>2029</v>
      </c>
    </row>
    <row r="127" spans="1:9" hidden="1" x14ac:dyDescent="0.25">
      <c r="A127" s="2" t="s">
        <v>593</v>
      </c>
      <c r="B127" s="3" t="s">
        <v>592</v>
      </c>
      <c r="C127" s="3" t="s">
        <v>602</v>
      </c>
      <c r="D127" s="2" t="s">
        <v>589</v>
      </c>
      <c r="I127" s="2">
        <v>2025</v>
      </c>
    </row>
    <row r="128" spans="1:9" hidden="1" x14ac:dyDescent="0.25">
      <c r="A128" s="2" t="s">
        <v>593</v>
      </c>
      <c r="B128" s="3" t="s">
        <v>592</v>
      </c>
      <c r="C128" s="3" t="s">
        <v>602</v>
      </c>
      <c r="D128" s="2" t="s">
        <v>589</v>
      </c>
      <c r="I128" s="2">
        <v>2026</v>
      </c>
    </row>
    <row r="129" spans="1:9" hidden="1" x14ac:dyDescent="0.25">
      <c r="A129" s="2" t="s">
        <v>593</v>
      </c>
      <c r="B129" s="3" t="s">
        <v>592</v>
      </c>
      <c r="C129" s="3" t="s">
        <v>602</v>
      </c>
      <c r="D129" s="2" t="s">
        <v>589</v>
      </c>
      <c r="I129" s="2">
        <v>2027</v>
      </c>
    </row>
    <row r="130" spans="1:9" hidden="1" x14ac:dyDescent="0.25">
      <c r="A130" s="2" t="s">
        <v>593</v>
      </c>
      <c r="B130" s="3" t="s">
        <v>592</v>
      </c>
      <c r="C130" s="3" t="s">
        <v>602</v>
      </c>
      <c r="D130" s="2" t="s">
        <v>589</v>
      </c>
      <c r="I130" s="2">
        <v>2028</v>
      </c>
    </row>
    <row r="131" spans="1:9" hidden="1" x14ac:dyDescent="0.25">
      <c r="A131" s="2" t="s">
        <v>593</v>
      </c>
      <c r="B131" s="3" t="s">
        <v>592</v>
      </c>
      <c r="C131" s="3" t="s">
        <v>602</v>
      </c>
      <c r="D131" s="2" t="s">
        <v>589</v>
      </c>
      <c r="I131" s="2">
        <v>2029</v>
      </c>
    </row>
    <row r="132" spans="1:9" hidden="1" x14ac:dyDescent="0.25">
      <c r="A132" s="2" t="s">
        <v>593</v>
      </c>
      <c r="B132" s="3" t="s">
        <v>592</v>
      </c>
      <c r="C132" s="3" t="s">
        <v>603</v>
      </c>
      <c r="D132" s="2" t="s">
        <v>589</v>
      </c>
      <c r="I132" s="2">
        <v>2025</v>
      </c>
    </row>
    <row r="133" spans="1:9" hidden="1" x14ac:dyDescent="0.25">
      <c r="A133" s="2" t="s">
        <v>593</v>
      </c>
      <c r="B133" s="3" t="s">
        <v>592</v>
      </c>
      <c r="C133" s="3" t="s">
        <v>603</v>
      </c>
      <c r="D133" s="2" t="s">
        <v>589</v>
      </c>
      <c r="I133" s="2">
        <v>2026</v>
      </c>
    </row>
    <row r="134" spans="1:9" hidden="1" x14ac:dyDescent="0.25">
      <c r="A134" s="2" t="s">
        <v>593</v>
      </c>
      <c r="B134" s="3" t="s">
        <v>592</v>
      </c>
      <c r="C134" s="3" t="s">
        <v>603</v>
      </c>
      <c r="D134" s="2" t="s">
        <v>589</v>
      </c>
      <c r="I134" s="2">
        <v>2027</v>
      </c>
    </row>
    <row r="135" spans="1:9" hidden="1" x14ac:dyDescent="0.25">
      <c r="A135" s="2" t="s">
        <v>593</v>
      </c>
      <c r="B135" s="3" t="s">
        <v>592</v>
      </c>
      <c r="C135" s="3" t="s">
        <v>603</v>
      </c>
      <c r="D135" s="2" t="s">
        <v>589</v>
      </c>
      <c r="I135" s="2">
        <v>2028</v>
      </c>
    </row>
    <row r="136" spans="1:9" hidden="1" x14ac:dyDescent="0.25">
      <c r="A136" s="2" t="s">
        <v>593</v>
      </c>
      <c r="B136" s="3" t="s">
        <v>592</v>
      </c>
      <c r="C136" s="3" t="s">
        <v>603</v>
      </c>
      <c r="D136" s="2" t="s">
        <v>589</v>
      </c>
      <c r="I136" s="2">
        <v>2029</v>
      </c>
    </row>
    <row r="137" spans="1:9" hidden="1" x14ac:dyDescent="0.25">
      <c r="A137" s="2" t="s">
        <v>593</v>
      </c>
      <c r="B137" s="3" t="s">
        <v>592</v>
      </c>
      <c r="C137" s="3" t="s">
        <v>604</v>
      </c>
      <c r="D137" s="2" t="s">
        <v>589</v>
      </c>
      <c r="I137" s="2">
        <v>2025</v>
      </c>
    </row>
    <row r="138" spans="1:9" hidden="1" x14ac:dyDescent="0.25">
      <c r="A138" s="2" t="s">
        <v>593</v>
      </c>
      <c r="B138" s="3" t="s">
        <v>592</v>
      </c>
      <c r="C138" s="3" t="s">
        <v>604</v>
      </c>
      <c r="D138" s="2" t="s">
        <v>589</v>
      </c>
      <c r="I138" s="2">
        <v>2026</v>
      </c>
    </row>
    <row r="139" spans="1:9" hidden="1" x14ac:dyDescent="0.25">
      <c r="A139" s="2" t="s">
        <v>593</v>
      </c>
      <c r="B139" s="3" t="s">
        <v>592</v>
      </c>
      <c r="C139" s="3" t="s">
        <v>604</v>
      </c>
      <c r="D139" s="2" t="s">
        <v>589</v>
      </c>
      <c r="I139" s="2">
        <v>2027</v>
      </c>
    </row>
    <row r="140" spans="1:9" hidden="1" x14ac:dyDescent="0.25">
      <c r="A140" s="2" t="s">
        <v>593</v>
      </c>
      <c r="B140" s="3" t="s">
        <v>592</v>
      </c>
      <c r="C140" s="3" t="s">
        <v>604</v>
      </c>
      <c r="D140" s="2" t="s">
        <v>589</v>
      </c>
      <c r="I140" s="2">
        <v>2028</v>
      </c>
    </row>
    <row r="141" spans="1:9" hidden="1" x14ac:dyDescent="0.25">
      <c r="A141" s="2" t="s">
        <v>593</v>
      </c>
      <c r="B141" s="3" t="s">
        <v>592</v>
      </c>
      <c r="C141" s="3" t="s">
        <v>604</v>
      </c>
      <c r="D141" s="2" t="s">
        <v>589</v>
      </c>
      <c r="I141" s="2">
        <v>2029</v>
      </c>
    </row>
    <row r="142" spans="1:9" x14ac:dyDescent="0.25">
      <c r="A142" s="2" t="s">
        <v>605</v>
      </c>
      <c r="B142" s="3" t="s">
        <v>588</v>
      </c>
      <c r="C142" s="3" t="s">
        <v>27</v>
      </c>
      <c r="I142" s="2">
        <v>2025</v>
      </c>
    </row>
    <row r="143" spans="1:9" hidden="1" x14ac:dyDescent="0.25">
      <c r="A143" s="2" t="s">
        <v>605</v>
      </c>
      <c r="B143" s="3" t="s">
        <v>588</v>
      </c>
      <c r="C143" s="3" t="s">
        <v>27</v>
      </c>
      <c r="I143" s="2">
        <v>2026</v>
      </c>
    </row>
    <row r="144" spans="1:9" hidden="1" x14ac:dyDescent="0.25">
      <c r="A144" s="2" t="s">
        <v>605</v>
      </c>
      <c r="B144" s="3" t="s">
        <v>588</v>
      </c>
      <c r="C144" s="3" t="s">
        <v>27</v>
      </c>
      <c r="I144" s="2">
        <v>2027</v>
      </c>
    </row>
    <row r="145" spans="1:9" hidden="1" x14ac:dyDescent="0.25">
      <c r="A145" s="2" t="s">
        <v>605</v>
      </c>
      <c r="B145" s="3" t="s">
        <v>588</v>
      </c>
      <c r="C145" s="3" t="s">
        <v>27</v>
      </c>
      <c r="I145" s="2">
        <v>2028</v>
      </c>
    </row>
    <row r="146" spans="1:9" hidden="1" x14ac:dyDescent="0.25">
      <c r="A146" s="2" t="s">
        <v>605</v>
      </c>
      <c r="B146" s="3" t="s">
        <v>588</v>
      </c>
      <c r="C146" s="3" t="s">
        <v>27</v>
      </c>
      <c r="I146" s="2">
        <v>2029</v>
      </c>
    </row>
    <row r="147" spans="1:9" x14ac:dyDescent="0.25">
      <c r="A147" s="2" t="s">
        <v>605</v>
      </c>
      <c r="B147" s="3" t="s">
        <v>588</v>
      </c>
      <c r="C147" s="4" t="s">
        <v>594</v>
      </c>
      <c r="I147" s="2">
        <v>2025</v>
      </c>
    </row>
    <row r="148" spans="1:9" hidden="1" x14ac:dyDescent="0.25">
      <c r="A148" s="2" t="s">
        <v>605</v>
      </c>
      <c r="B148" s="3" t="s">
        <v>588</v>
      </c>
      <c r="C148" s="4" t="s">
        <v>594</v>
      </c>
      <c r="I148" s="2">
        <v>2026</v>
      </c>
    </row>
    <row r="149" spans="1:9" hidden="1" x14ac:dyDescent="0.25">
      <c r="A149" s="2" t="s">
        <v>605</v>
      </c>
      <c r="B149" s="3" t="s">
        <v>588</v>
      </c>
      <c r="C149" s="4" t="s">
        <v>594</v>
      </c>
      <c r="I149" s="2">
        <v>2027</v>
      </c>
    </row>
    <row r="150" spans="1:9" hidden="1" x14ac:dyDescent="0.25">
      <c r="A150" s="2" t="s">
        <v>605</v>
      </c>
      <c r="B150" s="3" t="s">
        <v>588</v>
      </c>
      <c r="C150" s="4" t="s">
        <v>594</v>
      </c>
      <c r="I150" s="2">
        <v>2028</v>
      </c>
    </row>
    <row r="151" spans="1:9" hidden="1" x14ac:dyDescent="0.25">
      <c r="A151" s="2" t="s">
        <v>605</v>
      </c>
      <c r="B151" s="3" t="s">
        <v>588</v>
      </c>
      <c r="C151" s="4" t="s">
        <v>594</v>
      </c>
      <c r="I151" s="2">
        <v>2029</v>
      </c>
    </row>
    <row r="152" spans="1:9" x14ac:dyDescent="0.25">
      <c r="A152" s="2" t="s">
        <v>605</v>
      </c>
      <c r="B152" s="3" t="s">
        <v>590</v>
      </c>
      <c r="C152" s="3" t="s">
        <v>595</v>
      </c>
      <c r="I152" s="2">
        <v>2025</v>
      </c>
    </row>
    <row r="153" spans="1:9" hidden="1" x14ac:dyDescent="0.25">
      <c r="A153" s="2" t="s">
        <v>605</v>
      </c>
      <c r="B153" s="3" t="s">
        <v>590</v>
      </c>
      <c r="C153" s="3" t="s">
        <v>595</v>
      </c>
      <c r="I153" s="2">
        <v>2026</v>
      </c>
    </row>
    <row r="154" spans="1:9" hidden="1" x14ac:dyDescent="0.25">
      <c r="A154" s="2" t="s">
        <v>605</v>
      </c>
      <c r="B154" s="3" t="s">
        <v>590</v>
      </c>
      <c r="C154" s="3" t="s">
        <v>595</v>
      </c>
      <c r="I154" s="2">
        <v>2027</v>
      </c>
    </row>
    <row r="155" spans="1:9" hidden="1" x14ac:dyDescent="0.25">
      <c r="A155" s="2" t="s">
        <v>605</v>
      </c>
      <c r="B155" s="3" t="s">
        <v>590</v>
      </c>
      <c r="C155" s="3" t="s">
        <v>595</v>
      </c>
      <c r="I155" s="2">
        <v>2028</v>
      </c>
    </row>
    <row r="156" spans="1:9" hidden="1" x14ac:dyDescent="0.25">
      <c r="A156" s="2" t="s">
        <v>605</v>
      </c>
      <c r="B156" s="3" t="s">
        <v>590</v>
      </c>
      <c r="C156" s="3" t="s">
        <v>595</v>
      </c>
      <c r="I156" s="2">
        <v>2029</v>
      </c>
    </row>
    <row r="157" spans="1:9" x14ac:dyDescent="0.25">
      <c r="A157" s="2" t="s">
        <v>605</v>
      </c>
      <c r="B157" s="3" t="s">
        <v>590</v>
      </c>
      <c r="C157" s="3" t="s">
        <v>596</v>
      </c>
      <c r="I157" s="2">
        <v>2025</v>
      </c>
    </row>
    <row r="158" spans="1:9" hidden="1" x14ac:dyDescent="0.25">
      <c r="A158" s="2" t="s">
        <v>605</v>
      </c>
      <c r="B158" s="3" t="s">
        <v>590</v>
      </c>
      <c r="C158" s="3" t="s">
        <v>596</v>
      </c>
      <c r="I158" s="2">
        <v>2026</v>
      </c>
    </row>
    <row r="159" spans="1:9" hidden="1" x14ac:dyDescent="0.25">
      <c r="A159" s="2" t="s">
        <v>605</v>
      </c>
      <c r="B159" s="3" t="s">
        <v>590</v>
      </c>
      <c r="C159" s="3" t="s">
        <v>596</v>
      </c>
      <c r="I159" s="2">
        <v>2027</v>
      </c>
    </row>
    <row r="160" spans="1:9" hidden="1" x14ac:dyDescent="0.25">
      <c r="A160" s="2" t="s">
        <v>605</v>
      </c>
      <c r="B160" s="3" t="s">
        <v>590</v>
      </c>
      <c r="C160" s="3" t="s">
        <v>596</v>
      </c>
      <c r="I160" s="2">
        <v>2028</v>
      </c>
    </row>
    <row r="161" spans="1:9" hidden="1" x14ac:dyDescent="0.25">
      <c r="A161" s="2" t="s">
        <v>605</v>
      </c>
      <c r="B161" s="3" t="s">
        <v>590</v>
      </c>
      <c r="C161" s="3" t="s">
        <v>596</v>
      </c>
      <c r="I161" s="2">
        <v>2029</v>
      </c>
    </row>
    <row r="162" spans="1:9" x14ac:dyDescent="0.25">
      <c r="A162" s="2" t="s">
        <v>605</v>
      </c>
      <c r="B162" s="3" t="s">
        <v>590</v>
      </c>
      <c r="C162" s="3" t="s">
        <v>597</v>
      </c>
      <c r="I162" s="2">
        <v>2025</v>
      </c>
    </row>
    <row r="163" spans="1:9" hidden="1" x14ac:dyDescent="0.25">
      <c r="A163" s="2" t="s">
        <v>605</v>
      </c>
      <c r="B163" s="3" t="s">
        <v>590</v>
      </c>
      <c r="C163" s="3" t="s">
        <v>597</v>
      </c>
      <c r="I163" s="2">
        <v>2026</v>
      </c>
    </row>
    <row r="164" spans="1:9" hidden="1" x14ac:dyDescent="0.25">
      <c r="A164" s="2" t="s">
        <v>605</v>
      </c>
      <c r="B164" s="3" t="s">
        <v>590</v>
      </c>
      <c r="C164" s="3" t="s">
        <v>597</v>
      </c>
      <c r="I164" s="2">
        <v>2027</v>
      </c>
    </row>
    <row r="165" spans="1:9" hidden="1" x14ac:dyDescent="0.25">
      <c r="A165" s="2" t="s">
        <v>605</v>
      </c>
      <c r="B165" s="3" t="s">
        <v>590</v>
      </c>
      <c r="C165" s="3" t="s">
        <v>597</v>
      </c>
      <c r="I165" s="2">
        <v>2028</v>
      </c>
    </row>
    <row r="166" spans="1:9" hidden="1" x14ac:dyDescent="0.25">
      <c r="A166" s="2" t="s">
        <v>605</v>
      </c>
      <c r="B166" s="3" t="s">
        <v>590</v>
      </c>
      <c r="C166" s="3" t="s">
        <v>597</v>
      </c>
      <c r="I166" s="2">
        <v>2029</v>
      </c>
    </row>
    <row r="167" spans="1:9" x14ac:dyDescent="0.25">
      <c r="A167" s="2" t="s">
        <v>605</v>
      </c>
      <c r="B167" s="3" t="s">
        <v>591</v>
      </c>
      <c r="C167" s="3" t="s">
        <v>598</v>
      </c>
      <c r="I167" s="2">
        <v>2025</v>
      </c>
    </row>
    <row r="168" spans="1:9" hidden="1" x14ac:dyDescent="0.25">
      <c r="A168" s="2" t="s">
        <v>605</v>
      </c>
      <c r="B168" s="3" t="s">
        <v>591</v>
      </c>
      <c r="C168" s="3" t="s">
        <v>598</v>
      </c>
      <c r="I168" s="2">
        <v>2026</v>
      </c>
    </row>
    <row r="169" spans="1:9" hidden="1" x14ac:dyDescent="0.25">
      <c r="A169" s="2" t="s">
        <v>605</v>
      </c>
      <c r="B169" s="3" t="s">
        <v>591</v>
      </c>
      <c r="C169" s="3" t="s">
        <v>598</v>
      </c>
      <c r="I169" s="2">
        <v>2027</v>
      </c>
    </row>
    <row r="170" spans="1:9" hidden="1" x14ac:dyDescent="0.25">
      <c r="A170" s="2" t="s">
        <v>605</v>
      </c>
      <c r="B170" s="3" t="s">
        <v>591</v>
      </c>
      <c r="C170" s="3" t="s">
        <v>598</v>
      </c>
      <c r="I170" s="2">
        <v>2028</v>
      </c>
    </row>
    <row r="171" spans="1:9" hidden="1" x14ac:dyDescent="0.25">
      <c r="A171" s="2" t="s">
        <v>605</v>
      </c>
      <c r="B171" s="3" t="s">
        <v>591</v>
      </c>
      <c r="C171" s="3" t="s">
        <v>598</v>
      </c>
      <c r="I171" s="2">
        <v>2029</v>
      </c>
    </row>
    <row r="172" spans="1:9" x14ac:dyDescent="0.25">
      <c r="A172" s="2" t="s">
        <v>605</v>
      </c>
      <c r="B172" s="3" t="s">
        <v>591</v>
      </c>
      <c r="C172" s="3" t="s">
        <v>599</v>
      </c>
      <c r="I172" s="2">
        <v>2025</v>
      </c>
    </row>
    <row r="173" spans="1:9" hidden="1" x14ac:dyDescent="0.25">
      <c r="A173" s="2" t="s">
        <v>605</v>
      </c>
      <c r="B173" s="3" t="s">
        <v>591</v>
      </c>
      <c r="C173" s="3" t="s">
        <v>599</v>
      </c>
      <c r="I173" s="2">
        <v>2026</v>
      </c>
    </row>
    <row r="174" spans="1:9" hidden="1" x14ac:dyDescent="0.25">
      <c r="A174" s="2" t="s">
        <v>605</v>
      </c>
      <c r="B174" s="3" t="s">
        <v>591</v>
      </c>
      <c r="C174" s="3" t="s">
        <v>599</v>
      </c>
      <c r="I174" s="2">
        <v>2027</v>
      </c>
    </row>
    <row r="175" spans="1:9" hidden="1" x14ac:dyDescent="0.25">
      <c r="A175" s="2" t="s">
        <v>605</v>
      </c>
      <c r="B175" s="3" t="s">
        <v>591</v>
      </c>
      <c r="C175" s="3" t="s">
        <v>599</v>
      </c>
      <c r="I175" s="2">
        <v>2028</v>
      </c>
    </row>
    <row r="176" spans="1:9" hidden="1" x14ac:dyDescent="0.25">
      <c r="A176" s="2" t="s">
        <v>605</v>
      </c>
      <c r="B176" s="3" t="s">
        <v>591</v>
      </c>
      <c r="C176" s="3" t="s">
        <v>599</v>
      </c>
      <c r="I176" s="2">
        <v>2029</v>
      </c>
    </row>
    <row r="177" spans="1:9" x14ac:dyDescent="0.25">
      <c r="A177" s="2" t="s">
        <v>605</v>
      </c>
      <c r="B177" s="3" t="s">
        <v>591</v>
      </c>
      <c r="C177" s="3" t="s">
        <v>600</v>
      </c>
      <c r="I177" s="2">
        <v>2025</v>
      </c>
    </row>
    <row r="178" spans="1:9" hidden="1" x14ac:dyDescent="0.25">
      <c r="A178" s="2" t="s">
        <v>605</v>
      </c>
      <c r="B178" s="3" t="s">
        <v>591</v>
      </c>
      <c r="C178" s="3" t="s">
        <v>600</v>
      </c>
      <c r="I178" s="2">
        <v>2026</v>
      </c>
    </row>
    <row r="179" spans="1:9" hidden="1" x14ac:dyDescent="0.25">
      <c r="A179" s="2" t="s">
        <v>605</v>
      </c>
      <c r="B179" s="3" t="s">
        <v>591</v>
      </c>
      <c r="C179" s="3" t="s">
        <v>600</v>
      </c>
      <c r="I179" s="2">
        <v>2027</v>
      </c>
    </row>
    <row r="180" spans="1:9" hidden="1" x14ac:dyDescent="0.25">
      <c r="A180" s="2" t="s">
        <v>605</v>
      </c>
      <c r="B180" s="3" t="s">
        <v>591</v>
      </c>
      <c r="C180" s="3" t="s">
        <v>600</v>
      </c>
      <c r="I180" s="2">
        <v>2028</v>
      </c>
    </row>
    <row r="181" spans="1:9" hidden="1" x14ac:dyDescent="0.25">
      <c r="A181" s="2" t="s">
        <v>605</v>
      </c>
      <c r="B181" s="3" t="s">
        <v>591</v>
      </c>
      <c r="C181" s="3" t="s">
        <v>600</v>
      </c>
      <c r="I181" s="2">
        <v>2029</v>
      </c>
    </row>
    <row r="182" spans="1:9" x14ac:dyDescent="0.25">
      <c r="A182" s="2" t="s">
        <v>605</v>
      </c>
      <c r="B182" s="3" t="s">
        <v>591</v>
      </c>
      <c r="C182" s="3" t="s">
        <v>601</v>
      </c>
      <c r="I182" s="2">
        <v>2025</v>
      </c>
    </row>
    <row r="183" spans="1:9" hidden="1" x14ac:dyDescent="0.25">
      <c r="A183" s="2" t="s">
        <v>605</v>
      </c>
      <c r="B183" s="3" t="s">
        <v>591</v>
      </c>
      <c r="C183" s="3" t="s">
        <v>601</v>
      </c>
      <c r="I183" s="2">
        <v>2026</v>
      </c>
    </row>
    <row r="184" spans="1:9" hidden="1" x14ac:dyDescent="0.25">
      <c r="A184" s="2" t="s">
        <v>605</v>
      </c>
      <c r="B184" s="3" t="s">
        <v>591</v>
      </c>
      <c r="C184" s="3" t="s">
        <v>601</v>
      </c>
      <c r="I184" s="2">
        <v>2027</v>
      </c>
    </row>
    <row r="185" spans="1:9" hidden="1" x14ac:dyDescent="0.25">
      <c r="A185" s="2" t="s">
        <v>605</v>
      </c>
      <c r="B185" s="3" t="s">
        <v>591</v>
      </c>
      <c r="C185" s="3" t="s">
        <v>601</v>
      </c>
      <c r="I185" s="2">
        <v>2028</v>
      </c>
    </row>
    <row r="186" spans="1:9" hidden="1" x14ac:dyDescent="0.25">
      <c r="A186" s="2" t="s">
        <v>605</v>
      </c>
      <c r="B186" s="3" t="s">
        <v>591</v>
      </c>
      <c r="C186" s="3" t="s">
        <v>601</v>
      </c>
      <c r="I186" s="2">
        <v>2029</v>
      </c>
    </row>
    <row r="187" spans="1:9" x14ac:dyDescent="0.25">
      <c r="A187" s="2" t="s">
        <v>605</v>
      </c>
      <c r="B187" s="3" t="s">
        <v>592</v>
      </c>
      <c r="C187" s="3" t="s">
        <v>602</v>
      </c>
      <c r="D187" s="3" t="s">
        <v>553</v>
      </c>
      <c r="E187" s="3" t="s">
        <v>400</v>
      </c>
      <c r="G187" s="2" t="s">
        <v>606</v>
      </c>
      <c r="H187" s="2">
        <v>0</v>
      </c>
      <c r="I187" s="2">
        <v>2025</v>
      </c>
    </row>
    <row r="188" spans="1:9" hidden="1" x14ac:dyDescent="0.25">
      <c r="A188" s="2" t="s">
        <v>605</v>
      </c>
      <c r="B188" s="3" t="s">
        <v>592</v>
      </c>
      <c r="C188" s="3" t="s">
        <v>602</v>
      </c>
      <c r="D188" s="3" t="s">
        <v>553</v>
      </c>
      <c r="E188" s="3" t="s">
        <v>400</v>
      </c>
      <c r="G188" s="2" t="s">
        <v>606</v>
      </c>
      <c r="H188" s="2">
        <v>1</v>
      </c>
      <c r="I188" s="2">
        <v>2026</v>
      </c>
    </row>
    <row r="189" spans="1:9" hidden="1" x14ac:dyDescent="0.25">
      <c r="A189" s="2" t="s">
        <v>605</v>
      </c>
      <c r="B189" s="3" t="s">
        <v>592</v>
      </c>
      <c r="C189" s="3" t="s">
        <v>602</v>
      </c>
      <c r="D189" s="3" t="s">
        <v>553</v>
      </c>
      <c r="E189" s="3" t="s">
        <v>400</v>
      </c>
      <c r="G189" s="2" t="s">
        <v>606</v>
      </c>
      <c r="H189" s="2">
        <v>0</v>
      </c>
      <c r="I189" s="2">
        <v>2027</v>
      </c>
    </row>
    <row r="190" spans="1:9" hidden="1" x14ac:dyDescent="0.25">
      <c r="A190" s="2" t="s">
        <v>605</v>
      </c>
      <c r="B190" s="3" t="s">
        <v>592</v>
      </c>
      <c r="C190" s="3" t="s">
        <v>602</v>
      </c>
      <c r="D190" s="3" t="s">
        <v>553</v>
      </c>
      <c r="E190" s="3" t="s">
        <v>400</v>
      </c>
      <c r="G190" s="2" t="s">
        <v>606</v>
      </c>
      <c r="H190" s="2">
        <v>0</v>
      </c>
      <c r="I190" s="2">
        <v>2028</v>
      </c>
    </row>
    <row r="191" spans="1:9" hidden="1" x14ac:dyDescent="0.25">
      <c r="A191" s="2" t="s">
        <v>605</v>
      </c>
      <c r="B191" s="3" t="s">
        <v>592</v>
      </c>
      <c r="C191" s="3" t="s">
        <v>602</v>
      </c>
      <c r="D191" s="3" t="s">
        <v>553</v>
      </c>
      <c r="E191" s="3" t="s">
        <v>400</v>
      </c>
      <c r="G191" s="2" t="s">
        <v>606</v>
      </c>
      <c r="H191" s="2">
        <v>0</v>
      </c>
      <c r="I191" s="2">
        <v>2029</v>
      </c>
    </row>
    <row r="192" spans="1:9" x14ac:dyDescent="0.25">
      <c r="A192" s="2" t="s">
        <v>605</v>
      </c>
      <c r="B192" s="3" t="s">
        <v>592</v>
      </c>
      <c r="C192" s="3" t="s">
        <v>602</v>
      </c>
      <c r="D192" s="3" t="s">
        <v>553</v>
      </c>
      <c r="E192" s="3" t="s">
        <v>401</v>
      </c>
      <c r="G192" s="2" t="s">
        <v>607</v>
      </c>
      <c r="H192" s="2">
        <v>1</v>
      </c>
      <c r="I192" s="2">
        <v>2025</v>
      </c>
    </row>
    <row r="193" spans="1:9" hidden="1" x14ac:dyDescent="0.25">
      <c r="A193" s="2" t="s">
        <v>605</v>
      </c>
      <c r="B193" s="3" t="s">
        <v>592</v>
      </c>
      <c r="C193" s="3" t="s">
        <v>602</v>
      </c>
      <c r="D193" s="3" t="s">
        <v>553</v>
      </c>
      <c r="E193" s="3" t="s">
        <v>401</v>
      </c>
      <c r="G193" s="2" t="s">
        <v>607</v>
      </c>
      <c r="H193" s="2">
        <v>2</v>
      </c>
      <c r="I193" s="2">
        <v>2026</v>
      </c>
    </row>
    <row r="194" spans="1:9" hidden="1" x14ac:dyDescent="0.25">
      <c r="A194" s="2" t="s">
        <v>605</v>
      </c>
      <c r="B194" s="3" t="s">
        <v>592</v>
      </c>
      <c r="C194" s="3" t="s">
        <v>602</v>
      </c>
      <c r="D194" s="3" t="s">
        <v>553</v>
      </c>
      <c r="E194" s="3" t="s">
        <v>401</v>
      </c>
      <c r="G194" s="2" t="s">
        <v>607</v>
      </c>
      <c r="H194" s="2">
        <v>2</v>
      </c>
      <c r="I194" s="2">
        <v>2027</v>
      </c>
    </row>
    <row r="195" spans="1:9" hidden="1" x14ac:dyDescent="0.25">
      <c r="A195" s="2" t="s">
        <v>605</v>
      </c>
      <c r="B195" s="3" t="s">
        <v>592</v>
      </c>
      <c r="C195" s="3" t="s">
        <v>602</v>
      </c>
      <c r="D195" s="3" t="s">
        <v>553</v>
      </c>
      <c r="E195" s="3" t="s">
        <v>401</v>
      </c>
      <c r="G195" s="2" t="s">
        <v>607</v>
      </c>
      <c r="H195" s="2">
        <v>2</v>
      </c>
      <c r="I195" s="2">
        <v>2028</v>
      </c>
    </row>
    <row r="196" spans="1:9" hidden="1" x14ac:dyDescent="0.25">
      <c r="A196" s="2" t="s">
        <v>605</v>
      </c>
      <c r="B196" s="3" t="s">
        <v>592</v>
      </c>
      <c r="C196" s="3" t="s">
        <v>602</v>
      </c>
      <c r="D196" s="3" t="s">
        <v>553</v>
      </c>
      <c r="E196" s="3" t="s">
        <v>401</v>
      </c>
      <c r="G196" s="2" t="s">
        <v>607</v>
      </c>
      <c r="H196" s="2">
        <v>1</v>
      </c>
      <c r="I196" s="2">
        <v>2029</v>
      </c>
    </row>
    <row r="197" spans="1:9" x14ac:dyDescent="0.25">
      <c r="A197" s="2" t="s">
        <v>605</v>
      </c>
      <c r="B197" s="3" t="s">
        <v>592</v>
      </c>
      <c r="C197" s="3" t="s">
        <v>602</v>
      </c>
      <c r="D197" s="3" t="s">
        <v>553</v>
      </c>
      <c r="E197" s="3" t="s">
        <v>402</v>
      </c>
      <c r="G197" s="2" t="s">
        <v>607</v>
      </c>
      <c r="H197" s="2">
        <v>200</v>
      </c>
      <c r="I197" s="2">
        <v>2025</v>
      </c>
    </row>
    <row r="198" spans="1:9" hidden="1" x14ac:dyDescent="0.25">
      <c r="A198" s="2" t="s">
        <v>605</v>
      </c>
      <c r="B198" s="3" t="s">
        <v>592</v>
      </c>
      <c r="C198" s="3" t="s">
        <v>602</v>
      </c>
      <c r="D198" s="3" t="s">
        <v>553</v>
      </c>
      <c r="E198" s="3" t="s">
        <v>402</v>
      </c>
      <c r="G198" s="2" t="s">
        <v>607</v>
      </c>
      <c r="H198" s="2">
        <v>400</v>
      </c>
      <c r="I198" s="2">
        <v>2026</v>
      </c>
    </row>
    <row r="199" spans="1:9" hidden="1" x14ac:dyDescent="0.25">
      <c r="A199" s="2" t="s">
        <v>605</v>
      </c>
      <c r="B199" s="3" t="s">
        <v>592</v>
      </c>
      <c r="C199" s="3" t="s">
        <v>602</v>
      </c>
      <c r="D199" s="3" t="s">
        <v>553</v>
      </c>
      <c r="E199" s="3" t="s">
        <v>402</v>
      </c>
      <c r="G199" s="2" t="s">
        <v>607</v>
      </c>
      <c r="H199" s="2">
        <v>450</v>
      </c>
      <c r="I199" s="2">
        <v>2027</v>
      </c>
    </row>
    <row r="200" spans="1:9" hidden="1" x14ac:dyDescent="0.25">
      <c r="A200" s="2" t="s">
        <v>605</v>
      </c>
      <c r="B200" s="3" t="s">
        <v>592</v>
      </c>
      <c r="C200" s="3" t="s">
        <v>602</v>
      </c>
      <c r="D200" s="3" t="s">
        <v>553</v>
      </c>
      <c r="E200" s="3" t="s">
        <v>402</v>
      </c>
      <c r="G200" s="2" t="s">
        <v>607</v>
      </c>
      <c r="H200" s="2">
        <v>500</v>
      </c>
      <c r="I200" s="2">
        <v>2028</v>
      </c>
    </row>
    <row r="201" spans="1:9" hidden="1" x14ac:dyDescent="0.25">
      <c r="A201" s="2" t="s">
        <v>605</v>
      </c>
      <c r="B201" s="3" t="s">
        <v>592</v>
      </c>
      <c r="C201" s="3" t="s">
        <v>602</v>
      </c>
      <c r="D201" s="3" t="s">
        <v>553</v>
      </c>
      <c r="E201" s="3" t="s">
        <v>402</v>
      </c>
      <c r="G201" s="2" t="s">
        <v>607</v>
      </c>
      <c r="H201" s="2">
        <v>300</v>
      </c>
      <c r="I201" s="2">
        <v>2029</v>
      </c>
    </row>
    <row r="202" spans="1:9" x14ac:dyDescent="0.25">
      <c r="A202" s="2" t="s">
        <v>605</v>
      </c>
      <c r="B202" s="3" t="s">
        <v>592</v>
      </c>
      <c r="C202" s="3" t="s">
        <v>602</v>
      </c>
      <c r="D202" s="3" t="s">
        <v>553</v>
      </c>
      <c r="E202" s="3" t="s">
        <v>608</v>
      </c>
      <c r="G202" s="2" t="s">
        <v>607</v>
      </c>
      <c r="H202" s="2">
        <v>1</v>
      </c>
      <c r="I202" s="2">
        <v>2025</v>
      </c>
    </row>
    <row r="203" spans="1:9" hidden="1" x14ac:dyDescent="0.25">
      <c r="A203" s="2" t="s">
        <v>605</v>
      </c>
      <c r="B203" s="3" t="s">
        <v>592</v>
      </c>
      <c r="C203" s="3" t="s">
        <v>602</v>
      </c>
      <c r="D203" s="3" t="s">
        <v>553</v>
      </c>
      <c r="E203" s="3" t="s">
        <v>608</v>
      </c>
      <c r="G203" s="2" t="s">
        <v>607</v>
      </c>
      <c r="H203" s="2">
        <v>1</v>
      </c>
      <c r="I203" s="2">
        <v>2026</v>
      </c>
    </row>
    <row r="204" spans="1:9" hidden="1" x14ac:dyDescent="0.25">
      <c r="A204" s="2" t="s">
        <v>605</v>
      </c>
      <c r="B204" s="3" t="s">
        <v>592</v>
      </c>
      <c r="C204" s="3" t="s">
        <v>602</v>
      </c>
      <c r="D204" s="3" t="s">
        <v>553</v>
      </c>
      <c r="E204" s="3" t="s">
        <v>608</v>
      </c>
      <c r="G204" s="2" t="s">
        <v>607</v>
      </c>
      <c r="H204" s="2">
        <v>1</v>
      </c>
      <c r="I204" s="2">
        <v>2027</v>
      </c>
    </row>
    <row r="205" spans="1:9" hidden="1" x14ac:dyDescent="0.25">
      <c r="A205" s="2" t="s">
        <v>605</v>
      </c>
      <c r="B205" s="3" t="s">
        <v>592</v>
      </c>
      <c r="C205" s="3" t="s">
        <v>602</v>
      </c>
      <c r="D205" s="3" t="s">
        <v>553</v>
      </c>
      <c r="E205" s="3" t="s">
        <v>608</v>
      </c>
      <c r="G205" s="2" t="s">
        <v>607</v>
      </c>
      <c r="H205" s="2">
        <v>1</v>
      </c>
      <c r="I205" s="2">
        <v>2028</v>
      </c>
    </row>
    <row r="206" spans="1:9" hidden="1" x14ac:dyDescent="0.25">
      <c r="A206" s="2" t="s">
        <v>605</v>
      </c>
      <c r="B206" s="3" t="s">
        <v>592</v>
      </c>
      <c r="C206" s="3" t="s">
        <v>602</v>
      </c>
      <c r="D206" s="3" t="s">
        <v>553</v>
      </c>
      <c r="E206" s="3" t="s">
        <v>608</v>
      </c>
      <c r="G206" s="2" t="s">
        <v>607</v>
      </c>
      <c r="H206" s="2">
        <v>0</v>
      </c>
      <c r="I206" s="2">
        <v>2029</v>
      </c>
    </row>
    <row r="207" spans="1:9" x14ac:dyDescent="0.25">
      <c r="A207" s="2" t="s">
        <v>605</v>
      </c>
      <c r="B207" s="3" t="s">
        <v>592</v>
      </c>
      <c r="C207" s="3" t="s">
        <v>602</v>
      </c>
      <c r="D207" s="3" t="s">
        <v>495</v>
      </c>
      <c r="E207" s="3" t="s">
        <v>609</v>
      </c>
      <c r="G207" s="2" t="s">
        <v>607</v>
      </c>
      <c r="H207" s="2">
        <v>3</v>
      </c>
      <c r="I207" s="2">
        <v>2025</v>
      </c>
    </row>
    <row r="208" spans="1:9" hidden="1" x14ac:dyDescent="0.25">
      <c r="A208" s="2" t="s">
        <v>605</v>
      </c>
      <c r="B208" s="3" t="s">
        <v>592</v>
      </c>
      <c r="C208" s="3" t="s">
        <v>602</v>
      </c>
      <c r="D208" s="3" t="s">
        <v>495</v>
      </c>
      <c r="E208" s="3" t="s">
        <v>609</v>
      </c>
      <c r="G208" s="2" t="s">
        <v>607</v>
      </c>
      <c r="H208" s="2">
        <v>4</v>
      </c>
      <c r="I208" s="2">
        <v>2026</v>
      </c>
    </row>
    <row r="209" spans="1:9" hidden="1" x14ac:dyDescent="0.25">
      <c r="A209" s="2" t="s">
        <v>605</v>
      </c>
      <c r="B209" s="3" t="s">
        <v>592</v>
      </c>
      <c r="C209" s="3" t="s">
        <v>602</v>
      </c>
      <c r="D209" s="3" t="s">
        <v>495</v>
      </c>
      <c r="E209" s="3" t="s">
        <v>609</v>
      </c>
      <c r="G209" s="2" t="s">
        <v>607</v>
      </c>
      <c r="H209" s="2">
        <v>4</v>
      </c>
      <c r="I209" s="2">
        <v>2027</v>
      </c>
    </row>
    <row r="210" spans="1:9" hidden="1" x14ac:dyDescent="0.25">
      <c r="A210" s="2" t="s">
        <v>605</v>
      </c>
      <c r="B210" s="3" t="s">
        <v>592</v>
      </c>
      <c r="C210" s="3" t="s">
        <v>602</v>
      </c>
      <c r="D210" s="3" t="s">
        <v>495</v>
      </c>
      <c r="E210" s="3" t="s">
        <v>609</v>
      </c>
      <c r="G210" s="2" t="s">
        <v>607</v>
      </c>
      <c r="H210" s="2">
        <v>5</v>
      </c>
      <c r="I210" s="2">
        <v>2028</v>
      </c>
    </row>
    <row r="211" spans="1:9" hidden="1" x14ac:dyDescent="0.25">
      <c r="A211" s="2" t="s">
        <v>605</v>
      </c>
      <c r="B211" s="3" t="s">
        <v>592</v>
      </c>
      <c r="C211" s="3" t="s">
        <v>602</v>
      </c>
      <c r="D211" s="3" t="s">
        <v>495</v>
      </c>
      <c r="E211" s="3" t="s">
        <v>609</v>
      </c>
      <c r="G211" s="2" t="s">
        <v>607</v>
      </c>
      <c r="H211" s="2">
        <v>1</v>
      </c>
      <c r="I211" s="2">
        <v>2029</v>
      </c>
    </row>
    <row r="212" spans="1:9" x14ac:dyDescent="0.25">
      <c r="A212" s="2" t="s">
        <v>605</v>
      </c>
      <c r="B212" s="3" t="s">
        <v>592</v>
      </c>
      <c r="C212" s="3" t="s">
        <v>602</v>
      </c>
      <c r="D212" s="3" t="s">
        <v>495</v>
      </c>
      <c r="E212" s="3" t="s">
        <v>408</v>
      </c>
      <c r="G212" s="2" t="s">
        <v>607</v>
      </c>
      <c r="H212" s="2">
        <v>100</v>
      </c>
      <c r="I212" s="2">
        <v>2025</v>
      </c>
    </row>
    <row r="213" spans="1:9" hidden="1" x14ac:dyDescent="0.25">
      <c r="A213" s="2" t="s">
        <v>605</v>
      </c>
      <c r="B213" s="3" t="s">
        <v>592</v>
      </c>
      <c r="C213" s="3" t="s">
        <v>602</v>
      </c>
      <c r="D213" s="3" t="s">
        <v>495</v>
      </c>
      <c r="E213" s="3" t="s">
        <v>408</v>
      </c>
      <c r="G213" s="2" t="s">
        <v>607</v>
      </c>
      <c r="H213" s="2">
        <v>200</v>
      </c>
      <c r="I213" s="2">
        <v>2026</v>
      </c>
    </row>
    <row r="214" spans="1:9" hidden="1" x14ac:dyDescent="0.25">
      <c r="A214" s="2" t="s">
        <v>605</v>
      </c>
      <c r="B214" s="3" t="s">
        <v>592</v>
      </c>
      <c r="C214" s="3" t="s">
        <v>602</v>
      </c>
      <c r="D214" s="3" t="s">
        <v>495</v>
      </c>
      <c r="E214" s="3" t="s">
        <v>408</v>
      </c>
      <c r="G214" s="2" t="s">
        <v>607</v>
      </c>
      <c r="H214" s="2">
        <v>300</v>
      </c>
      <c r="I214" s="2">
        <v>2027</v>
      </c>
    </row>
    <row r="215" spans="1:9" hidden="1" x14ac:dyDescent="0.25">
      <c r="A215" s="2" t="s">
        <v>605</v>
      </c>
      <c r="B215" s="3" t="s">
        <v>592</v>
      </c>
      <c r="C215" s="3" t="s">
        <v>602</v>
      </c>
      <c r="D215" s="3" t="s">
        <v>495</v>
      </c>
      <c r="E215" s="3" t="s">
        <v>408</v>
      </c>
      <c r="G215" s="2" t="s">
        <v>607</v>
      </c>
      <c r="H215" s="2">
        <v>400</v>
      </c>
      <c r="I215" s="2">
        <v>2028</v>
      </c>
    </row>
    <row r="216" spans="1:9" hidden="1" x14ac:dyDescent="0.25">
      <c r="A216" s="2" t="s">
        <v>605</v>
      </c>
      <c r="B216" s="3" t="s">
        <v>592</v>
      </c>
      <c r="C216" s="3" t="s">
        <v>602</v>
      </c>
      <c r="D216" s="3" t="s">
        <v>495</v>
      </c>
      <c r="E216" s="3" t="s">
        <v>408</v>
      </c>
      <c r="G216" s="2" t="s">
        <v>607</v>
      </c>
      <c r="H216" s="2">
        <v>50</v>
      </c>
      <c r="I216" s="2">
        <v>2029</v>
      </c>
    </row>
    <row r="217" spans="1:9" x14ac:dyDescent="0.25">
      <c r="A217" s="2" t="s">
        <v>605</v>
      </c>
      <c r="B217" s="3" t="s">
        <v>592</v>
      </c>
      <c r="C217" s="3" t="s">
        <v>602</v>
      </c>
      <c r="D217" s="3" t="s">
        <v>495</v>
      </c>
      <c r="E217" s="3" t="s">
        <v>610</v>
      </c>
      <c r="G217" s="2" t="s">
        <v>606</v>
      </c>
      <c r="H217" s="5"/>
      <c r="I217" s="2">
        <v>2025</v>
      </c>
    </row>
    <row r="218" spans="1:9" hidden="1" x14ac:dyDescent="0.25">
      <c r="A218" s="2" t="s">
        <v>605</v>
      </c>
      <c r="B218" s="3" t="s">
        <v>592</v>
      </c>
      <c r="C218" s="3" t="s">
        <v>602</v>
      </c>
      <c r="D218" s="3" t="s">
        <v>495</v>
      </c>
      <c r="E218" s="3" t="s">
        <v>610</v>
      </c>
      <c r="G218" s="2" t="s">
        <v>606</v>
      </c>
      <c r="H218" s="5"/>
      <c r="I218" s="2">
        <v>2026</v>
      </c>
    </row>
    <row r="219" spans="1:9" hidden="1" x14ac:dyDescent="0.25">
      <c r="A219" s="2" t="s">
        <v>605</v>
      </c>
      <c r="B219" s="3" t="s">
        <v>592</v>
      </c>
      <c r="C219" s="3" t="s">
        <v>602</v>
      </c>
      <c r="D219" s="3" t="s">
        <v>495</v>
      </c>
      <c r="E219" s="3" t="s">
        <v>610</v>
      </c>
      <c r="G219" s="2" t="s">
        <v>606</v>
      </c>
      <c r="H219" s="5"/>
      <c r="I219" s="2">
        <v>2027</v>
      </c>
    </row>
    <row r="220" spans="1:9" hidden="1" x14ac:dyDescent="0.25">
      <c r="A220" s="2" t="s">
        <v>605</v>
      </c>
      <c r="B220" s="3" t="s">
        <v>592</v>
      </c>
      <c r="C220" s="3" t="s">
        <v>602</v>
      </c>
      <c r="D220" s="3" t="s">
        <v>495</v>
      </c>
      <c r="E220" s="3" t="s">
        <v>610</v>
      </c>
      <c r="G220" s="2" t="s">
        <v>606</v>
      </c>
      <c r="H220" s="5"/>
      <c r="I220" s="2">
        <v>2028</v>
      </c>
    </row>
    <row r="221" spans="1:9" hidden="1" x14ac:dyDescent="0.25">
      <c r="A221" s="2" t="s">
        <v>605</v>
      </c>
      <c r="B221" s="3" t="s">
        <v>592</v>
      </c>
      <c r="C221" s="3" t="s">
        <v>602</v>
      </c>
      <c r="D221" s="3" t="s">
        <v>495</v>
      </c>
      <c r="E221" s="3" t="s">
        <v>610</v>
      </c>
      <c r="G221" s="2" t="s">
        <v>606</v>
      </c>
      <c r="H221" s="5"/>
      <c r="I221" s="2">
        <v>2029</v>
      </c>
    </row>
    <row r="222" spans="1:9" x14ac:dyDescent="0.25">
      <c r="A222" s="2" t="s">
        <v>605</v>
      </c>
      <c r="B222" s="3" t="s">
        <v>592</v>
      </c>
      <c r="C222" s="3" t="s">
        <v>602</v>
      </c>
      <c r="D222" s="3" t="s">
        <v>495</v>
      </c>
      <c r="E222" s="3" t="s">
        <v>611</v>
      </c>
      <c r="G222" s="2" t="s">
        <v>607</v>
      </c>
      <c r="H222" s="2">
        <v>1</v>
      </c>
      <c r="I222" s="2">
        <v>2025</v>
      </c>
    </row>
    <row r="223" spans="1:9" hidden="1" x14ac:dyDescent="0.25">
      <c r="A223" s="2" t="s">
        <v>605</v>
      </c>
      <c r="B223" s="3" t="s">
        <v>592</v>
      </c>
      <c r="C223" s="3" t="s">
        <v>602</v>
      </c>
      <c r="D223" s="3" t="s">
        <v>495</v>
      </c>
      <c r="E223" s="3" t="s">
        <v>611</v>
      </c>
      <c r="G223" s="2" t="s">
        <v>607</v>
      </c>
      <c r="H223" s="2">
        <v>2</v>
      </c>
      <c r="I223" s="2">
        <v>2026</v>
      </c>
    </row>
    <row r="224" spans="1:9" hidden="1" x14ac:dyDescent="0.25">
      <c r="A224" s="2" t="s">
        <v>605</v>
      </c>
      <c r="B224" s="3" t="s">
        <v>592</v>
      </c>
      <c r="C224" s="3" t="s">
        <v>602</v>
      </c>
      <c r="D224" s="3" t="s">
        <v>495</v>
      </c>
      <c r="E224" s="3" t="s">
        <v>611</v>
      </c>
      <c r="G224" s="2" t="s">
        <v>607</v>
      </c>
      <c r="H224" s="2">
        <v>2</v>
      </c>
      <c r="I224" s="2">
        <v>2027</v>
      </c>
    </row>
    <row r="225" spans="1:9" hidden="1" x14ac:dyDescent="0.25">
      <c r="A225" s="2" t="s">
        <v>605</v>
      </c>
      <c r="B225" s="3" t="s">
        <v>592</v>
      </c>
      <c r="C225" s="3" t="s">
        <v>602</v>
      </c>
      <c r="D225" s="3" t="s">
        <v>495</v>
      </c>
      <c r="E225" s="3" t="s">
        <v>611</v>
      </c>
      <c r="G225" s="2" t="s">
        <v>607</v>
      </c>
      <c r="H225" s="2">
        <v>2</v>
      </c>
      <c r="I225" s="2">
        <v>2028</v>
      </c>
    </row>
    <row r="226" spans="1:9" hidden="1" x14ac:dyDescent="0.25">
      <c r="A226" s="2" t="s">
        <v>605</v>
      </c>
      <c r="B226" s="3" t="s">
        <v>592</v>
      </c>
      <c r="C226" s="3" t="s">
        <v>602</v>
      </c>
      <c r="D226" s="3" t="s">
        <v>495</v>
      </c>
      <c r="E226" s="3" t="s">
        <v>611</v>
      </c>
      <c r="G226" s="2" t="s">
        <v>607</v>
      </c>
      <c r="H226" s="2">
        <v>1</v>
      </c>
      <c r="I226" s="2">
        <v>2029</v>
      </c>
    </row>
    <row r="227" spans="1:9" x14ac:dyDescent="0.25">
      <c r="A227" s="2" t="s">
        <v>605</v>
      </c>
      <c r="B227" s="3" t="s">
        <v>592</v>
      </c>
      <c r="C227" s="3" t="s">
        <v>602</v>
      </c>
      <c r="D227" s="3" t="s">
        <v>558</v>
      </c>
      <c r="E227" s="3" t="s">
        <v>612</v>
      </c>
      <c r="G227" s="2" t="s">
        <v>606</v>
      </c>
      <c r="H227" s="2">
        <v>0</v>
      </c>
      <c r="I227" s="2">
        <v>2025</v>
      </c>
    </row>
    <row r="228" spans="1:9" hidden="1" x14ac:dyDescent="0.25">
      <c r="A228" s="2" t="s">
        <v>605</v>
      </c>
      <c r="B228" s="3" t="s">
        <v>592</v>
      </c>
      <c r="C228" s="3" t="s">
        <v>602</v>
      </c>
      <c r="D228" s="3" t="s">
        <v>558</v>
      </c>
      <c r="E228" s="3" t="s">
        <v>612</v>
      </c>
      <c r="G228" s="2" t="s">
        <v>606</v>
      </c>
      <c r="H228" s="2">
        <v>1</v>
      </c>
      <c r="I228" s="2">
        <v>2026</v>
      </c>
    </row>
    <row r="229" spans="1:9" hidden="1" x14ac:dyDescent="0.25">
      <c r="A229" s="2" t="s">
        <v>605</v>
      </c>
      <c r="B229" s="3" t="s">
        <v>592</v>
      </c>
      <c r="C229" s="3" t="s">
        <v>602</v>
      </c>
      <c r="D229" s="3" t="s">
        <v>558</v>
      </c>
      <c r="E229" s="3" t="s">
        <v>612</v>
      </c>
      <c r="G229" s="2" t="s">
        <v>606</v>
      </c>
      <c r="H229" s="2">
        <v>0</v>
      </c>
      <c r="I229" s="2">
        <v>2027</v>
      </c>
    </row>
    <row r="230" spans="1:9" hidden="1" x14ac:dyDescent="0.25">
      <c r="A230" s="2" t="s">
        <v>605</v>
      </c>
      <c r="B230" s="3" t="s">
        <v>592</v>
      </c>
      <c r="C230" s="3" t="s">
        <v>602</v>
      </c>
      <c r="D230" s="3" t="s">
        <v>558</v>
      </c>
      <c r="E230" s="3" t="s">
        <v>612</v>
      </c>
      <c r="G230" s="2" t="s">
        <v>606</v>
      </c>
      <c r="H230" s="2">
        <v>0</v>
      </c>
      <c r="I230" s="2">
        <v>2028</v>
      </c>
    </row>
    <row r="231" spans="1:9" hidden="1" x14ac:dyDescent="0.25">
      <c r="A231" s="2" t="s">
        <v>605</v>
      </c>
      <c r="B231" s="3" t="s">
        <v>592</v>
      </c>
      <c r="C231" s="3" t="s">
        <v>602</v>
      </c>
      <c r="D231" s="3" t="s">
        <v>558</v>
      </c>
      <c r="E231" s="3" t="s">
        <v>612</v>
      </c>
      <c r="G231" s="2" t="s">
        <v>606</v>
      </c>
      <c r="H231" s="2">
        <v>0</v>
      </c>
      <c r="I231" s="2">
        <v>2029</v>
      </c>
    </row>
    <row r="232" spans="1:9" x14ac:dyDescent="0.25">
      <c r="A232" s="2" t="s">
        <v>605</v>
      </c>
      <c r="B232" s="3" t="s">
        <v>592</v>
      </c>
      <c r="C232" s="3" t="s">
        <v>602</v>
      </c>
      <c r="D232" s="3" t="s">
        <v>558</v>
      </c>
      <c r="E232" s="3" t="s">
        <v>613</v>
      </c>
      <c r="G232" s="2" t="s">
        <v>606</v>
      </c>
      <c r="H232" s="2">
        <v>0</v>
      </c>
      <c r="I232" s="2">
        <v>2025</v>
      </c>
    </row>
    <row r="233" spans="1:9" hidden="1" x14ac:dyDescent="0.25">
      <c r="A233" s="2" t="s">
        <v>605</v>
      </c>
      <c r="B233" s="3" t="s">
        <v>592</v>
      </c>
      <c r="C233" s="3" t="s">
        <v>602</v>
      </c>
      <c r="D233" s="3" t="s">
        <v>558</v>
      </c>
      <c r="E233" s="3" t="s">
        <v>613</v>
      </c>
      <c r="G233" s="2" t="s">
        <v>606</v>
      </c>
      <c r="H233" s="2">
        <v>1</v>
      </c>
      <c r="I233" s="2">
        <v>2026</v>
      </c>
    </row>
    <row r="234" spans="1:9" hidden="1" x14ac:dyDescent="0.25">
      <c r="A234" s="2" t="s">
        <v>605</v>
      </c>
      <c r="B234" s="3" t="s">
        <v>592</v>
      </c>
      <c r="C234" s="3" t="s">
        <v>602</v>
      </c>
      <c r="D234" s="3" t="s">
        <v>558</v>
      </c>
      <c r="E234" s="3" t="s">
        <v>613</v>
      </c>
      <c r="G234" s="2" t="s">
        <v>606</v>
      </c>
      <c r="H234" s="2">
        <v>1</v>
      </c>
      <c r="I234" s="2">
        <v>2027</v>
      </c>
    </row>
    <row r="235" spans="1:9" hidden="1" x14ac:dyDescent="0.25">
      <c r="A235" s="2" t="s">
        <v>605</v>
      </c>
      <c r="B235" s="3" t="s">
        <v>592</v>
      </c>
      <c r="C235" s="3" t="s">
        <v>602</v>
      </c>
      <c r="D235" s="3" t="s">
        <v>558</v>
      </c>
      <c r="E235" s="3" t="s">
        <v>613</v>
      </c>
      <c r="G235" s="2" t="s">
        <v>606</v>
      </c>
      <c r="H235" s="2">
        <v>1</v>
      </c>
      <c r="I235" s="2">
        <v>2028</v>
      </c>
    </row>
    <row r="236" spans="1:9" hidden="1" x14ac:dyDescent="0.25">
      <c r="A236" s="2" t="s">
        <v>605</v>
      </c>
      <c r="B236" s="3" t="s">
        <v>592</v>
      </c>
      <c r="C236" s="3" t="s">
        <v>602</v>
      </c>
      <c r="D236" s="3" t="s">
        <v>558</v>
      </c>
      <c r="E236" s="3" t="s">
        <v>613</v>
      </c>
      <c r="G236" s="2" t="s">
        <v>606</v>
      </c>
      <c r="H236" s="2">
        <v>1</v>
      </c>
      <c r="I236" s="2">
        <v>2029</v>
      </c>
    </row>
    <row r="237" spans="1:9" x14ac:dyDescent="0.25">
      <c r="A237" s="2" t="s">
        <v>605</v>
      </c>
      <c r="B237" s="3" t="s">
        <v>592</v>
      </c>
      <c r="C237" s="3" t="s">
        <v>602</v>
      </c>
      <c r="D237" s="3" t="s">
        <v>558</v>
      </c>
      <c r="E237" s="3" t="s">
        <v>614</v>
      </c>
      <c r="G237" s="5" t="s">
        <v>615</v>
      </c>
      <c r="H237" s="2">
        <v>15</v>
      </c>
      <c r="I237" s="2">
        <v>2025</v>
      </c>
    </row>
    <row r="238" spans="1:9" hidden="1" x14ac:dyDescent="0.25">
      <c r="A238" s="2" t="s">
        <v>605</v>
      </c>
      <c r="B238" s="3" t="s">
        <v>592</v>
      </c>
      <c r="C238" s="3" t="s">
        <v>602</v>
      </c>
      <c r="D238" s="3" t="s">
        <v>558</v>
      </c>
      <c r="E238" s="3" t="s">
        <v>614</v>
      </c>
      <c r="G238" s="5" t="s">
        <v>615</v>
      </c>
      <c r="H238" s="2">
        <v>20</v>
      </c>
      <c r="I238" s="2">
        <v>2026</v>
      </c>
    </row>
    <row r="239" spans="1:9" hidden="1" x14ac:dyDescent="0.25">
      <c r="A239" s="2" t="s">
        <v>605</v>
      </c>
      <c r="B239" s="3" t="s">
        <v>592</v>
      </c>
      <c r="C239" s="3" t="s">
        <v>602</v>
      </c>
      <c r="D239" s="3" t="s">
        <v>558</v>
      </c>
      <c r="E239" s="3" t="s">
        <v>614</v>
      </c>
      <c r="G239" s="5" t="s">
        <v>615</v>
      </c>
      <c r="H239" s="2">
        <v>20</v>
      </c>
      <c r="I239" s="2">
        <v>2027</v>
      </c>
    </row>
    <row r="240" spans="1:9" hidden="1" x14ac:dyDescent="0.25">
      <c r="A240" s="2" t="s">
        <v>605</v>
      </c>
      <c r="B240" s="3" t="s">
        <v>592</v>
      </c>
      <c r="C240" s="3" t="s">
        <v>602</v>
      </c>
      <c r="D240" s="3" t="s">
        <v>558</v>
      </c>
      <c r="E240" s="3" t="s">
        <v>614</v>
      </c>
      <c r="G240" s="5" t="s">
        <v>615</v>
      </c>
      <c r="H240" s="2">
        <v>30</v>
      </c>
      <c r="I240" s="2">
        <v>2028</v>
      </c>
    </row>
    <row r="241" spans="1:9" hidden="1" x14ac:dyDescent="0.25">
      <c r="A241" s="2" t="s">
        <v>605</v>
      </c>
      <c r="B241" s="3" t="s">
        <v>592</v>
      </c>
      <c r="C241" s="3" t="s">
        <v>602</v>
      </c>
      <c r="D241" s="3" t="s">
        <v>558</v>
      </c>
      <c r="E241" s="3" t="s">
        <v>614</v>
      </c>
      <c r="G241" s="5" t="s">
        <v>615</v>
      </c>
      <c r="H241" s="2">
        <v>15</v>
      </c>
      <c r="I241" s="2">
        <v>2029</v>
      </c>
    </row>
    <row r="242" spans="1:9" x14ac:dyDescent="0.25">
      <c r="A242" s="2" t="s">
        <v>605</v>
      </c>
      <c r="B242" s="3" t="s">
        <v>592</v>
      </c>
      <c r="C242" s="3" t="s">
        <v>602</v>
      </c>
      <c r="D242" s="3" t="s">
        <v>558</v>
      </c>
      <c r="E242" s="3" t="s">
        <v>412</v>
      </c>
      <c r="G242" s="5" t="s">
        <v>615</v>
      </c>
      <c r="H242" s="2">
        <v>2</v>
      </c>
      <c r="I242" s="2">
        <v>2025</v>
      </c>
    </row>
    <row r="243" spans="1:9" hidden="1" x14ac:dyDescent="0.25">
      <c r="A243" s="2" t="s">
        <v>605</v>
      </c>
      <c r="B243" s="3" t="s">
        <v>592</v>
      </c>
      <c r="C243" s="3" t="s">
        <v>602</v>
      </c>
      <c r="D243" s="3" t="s">
        <v>558</v>
      </c>
      <c r="E243" s="3" t="s">
        <v>412</v>
      </c>
      <c r="G243" s="5" t="s">
        <v>615</v>
      </c>
      <c r="H243" s="2">
        <v>4</v>
      </c>
      <c r="I243" s="2">
        <v>2026</v>
      </c>
    </row>
    <row r="244" spans="1:9" hidden="1" x14ac:dyDescent="0.25">
      <c r="A244" s="2" t="s">
        <v>605</v>
      </c>
      <c r="B244" s="3" t="s">
        <v>592</v>
      </c>
      <c r="C244" s="3" t="s">
        <v>602</v>
      </c>
      <c r="D244" s="3" t="s">
        <v>558</v>
      </c>
      <c r="E244" s="3" t="s">
        <v>412</v>
      </c>
      <c r="G244" s="5" t="s">
        <v>615</v>
      </c>
      <c r="H244" s="2">
        <v>4</v>
      </c>
      <c r="I244" s="2">
        <v>2027</v>
      </c>
    </row>
    <row r="245" spans="1:9" hidden="1" x14ac:dyDescent="0.25">
      <c r="A245" s="2" t="s">
        <v>605</v>
      </c>
      <c r="B245" s="3" t="s">
        <v>592</v>
      </c>
      <c r="C245" s="3" t="s">
        <v>602</v>
      </c>
      <c r="D245" s="3" t="s">
        <v>558</v>
      </c>
      <c r="E245" s="3" t="s">
        <v>412</v>
      </c>
      <c r="G245" s="5" t="s">
        <v>615</v>
      </c>
      <c r="H245" s="2">
        <v>4</v>
      </c>
      <c r="I245" s="2">
        <v>2028</v>
      </c>
    </row>
    <row r="246" spans="1:9" hidden="1" x14ac:dyDescent="0.25">
      <c r="A246" s="2" t="s">
        <v>605</v>
      </c>
      <c r="B246" s="3" t="s">
        <v>592</v>
      </c>
      <c r="C246" s="3" t="s">
        <v>602</v>
      </c>
      <c r="D246" s="3" t="s">
        <v>558</v>
      </c>
      <c r="E246" s="3" t="s">
        <v>412</v>
      </c>
      <c r="G246" s="5" t="s">
        <v>615</v>
      </c>
      <c r="H246" s="2">
        <v>2</v>
      </c>
      <c r="I246" s="2">
        <v>2029</v>
      </c>
    </row>
    <row r="247" spans="1:9" x14ac:dyDescent="0.25">
      <c r="A247" s="2" t="s">
        <v>605</v>
      </c>
      <c r="B247" s="3" t="s">
        <v>592</v>
      </c>
      <c r="C247" s="3" t="s">
        <v>602</v>
      </c>
      <c r="D247" s="3" t="s">
        <v>555</v>
      </c>
      <c r="E247" s="3" t="s">
        <v>616</v>
      </c>
      <c r="G247" s="5" t="s">
        <v>615</v>
      </c>
      <c r="H247" s="2">
        <v>500</v>
      </c>
      <c r="I247" s="2">
        <v>2025</v>
      </c>
    </row>
    <row r="248" spans="1:9" hidden="1" x14ac:dyDescent="0.25">
      <c r="A248" s="2" t="s">
        <v>605</v>
      </c>
      <c r="B248" s="3" t="s">
        <v>592</v>
      </c>
      <c r="C248" s="3" t="s">
        <v>602</v>
      </c>
      <c r="D248" s="3" t="s">
        <v>555</v>
      </c>
      <c r="E248" s="3" t="s">
        <v>616</v>
      </c>
      <c r="G248" s="5" t="s">
        <v>615</v>
      </c>
      <c r="H248" s="2">
        <v>1000</v>
      </c>
      <c r="I248" s="2">
        <v>2026</v>
      </c>
    </row>
    <row r="249" spans="1:9" hidden="1" x14ac:dyDescent="0.25">
      <c r="A249" s="2" t="s">
        <v>605</v>
      </c>
      <c r="B249" s="3" t="s">
        <v>592</v>
      </c>
      <c r="C249" s="3" t="s">
        <v>602</v>
      </c>
      <c r="D249" s="3" t="s">
        <v>555</v>
      </c>
      <c r="E249" s="3" t="s">
        <v>616</v>
      </c>
      <c r="G249" s="5" t="s">
        <v>615</v>
      </c>
      <c r="H249" s="2">
        <v>1000</v>
      </c>
      <c r="I249" s="2">
        <v>2027</v>
      </c>
    </row>
    <row r="250" spans="1:9" hidden="1" x14ac:dyDescent="0.25">
      <c r="A250" s="2" t="s">
        <v>605</v>
      </c>
      <c r="B250" s="3" t="s">
        <v>592</v>
      </c>
      <c r="C250" s="3" t="s">
        <v>602</v>
      </c>
      <c r="D250" s="3" t="s">
        <v>555</v>
      </c>
      <c r="E250" s="3" t="s">
        <v>616</v>
      </c>
      <c r="G250" s="5" t="s">
        <v>615</v>
      </c>
      <c r="H250" s="2">
        <v>1100</v>
      </c>
      <c r="I250" s="2">
        <v>2028</v>
      </c>
    </row>
    <row r="251" spans="1:9" hidden="1" x14ac:dyDescent="0.25">
      <c r="A251" s="2" t="s">
        <v>605</v>
      </c>
      <c r="B251" s="3" t="s">
        <v>592</v>
      </c>
      <c r="C251" s="3" t="s">
        <v>602</v>
      </c>
      <c r="D251" s="3" t="s">
        <v>555</v>
      </c>
      <c r="E251" s="3" t="s">
        <v>616</v>
      </c>
      <c r="G251" s="5" t="s">
        <v>615</v>
      </c>
      <c r="H251" s="2">
        <v>500</v>
      </c>
      <c r="I251" s="2">
        <v>2029</v>
      </c>
    </row>
    <row r="252" spans="1:9" x14ac:dyDescent="0.25">
      <c r="A252" s="2" t="s">
        <v>605</v>
      </c>
      <c r="B252" s="3" t="s">
        <v>592</v>
      </c>
      <c r="C252" s="3" t="s">
        <v>602</v>
      </c>
      <c r="D252" s="3" t="s">
        <v>555</v>
      </c>
      <c r="E252" s="3" t="s">
        <v>617</v>
      </c>
      <c r="G252" s="5" t="s">
        <v>615</v>
      </c>
      <c r="H252" s="2">
        <v>0</v>
      </c>
      <c r="I252" s="2">
        <v>2025</v>
      </c>
    </row>
    <row r="253" spans="1:9" hidden="1" x14ac:dyDescent="0.25">
      <c r="A253" s="2" t="s">
        <v>605</v>
      </c>
      <c r="B253" s="3" t="s">
        <v>592</v>
      </c>
      <c r="C253" s="3" t="s">
        <v>602</v>
      </c>
      <c r="D253" s="3" t="s">
        <v>555</v>
      </c>
      <c r="E253" s="3" t="s">
        <v>617</v>
      </c>
      <c r="G253" s="5" t="s">
        <v>615</v>
      </c>
      <c r="H253" s="2">
        <v>1</v>
      </c>
      <c r="I253" s="2">
        <v>2026</v>
      </c>
    </row>
    <row r="254" spans="1:9" hidden="1" x14ac:dyDescent="0.25">
      <c r="A254" s="2" t="s">
        <v>605</v>
      </c>
      <c r="B254" s="3" t="s">
        <v>592</v>
      </c>
      <c r="C254" s="3" t="s">
        <v>602</v>
      </c>
      <c r="D254" s="3" t="s">
        <v>555</v>
      </c>
      <c r="E254" s="3" t="s">
        <v>617</v>
      </c>
      <c r="G254" s="5" t="s">
        <v>615</v>
      </c>
      <c r="H254" s="2">
        <v>1</v>
      </c>
      <c r="I254" s="2">
        <v>2027</v>
      </c>
    </row>
    <row r="255" spans="1:9" hidden="1" x14ac:dyDescent="0.25">
      <c r="A255" s="2" t="s">
        <v>605</v>
      </c>
      <c r="B255" s="3" t="s">
        <v>592</v>
      </c>
      <c r="C255" s="3" t="s">
        <v>602</v>
      </c>
      <c r="D255" s="3" t="s">
        <v>555</v>
      </c>
      <c r="E255" s="3" t="s">
        <v>617</v>
      </c>
      <c r="G255" s="5" t="s">
        <v>615</v>
      </c>
      <c r="H255" s="2">
        <v>1</v>
      </c>
      <c r="I255" s="2">
        <v>2028</v>
      </c>
    </row>
    <row r="256" spans="1:9" hidden="1" x14ac:dyDescent="0.25">
      <c r="A256" s="2" t="s">
        <v>605</v>
      </c>
      <c r="B256" s="3" t="s">
        <v>592</v>
      </c>
      <c r="C256" s="3" t="s">
        <v>602</v>
      </c>
      <c r="D256" s="3" t="s">
        <v>555</v>
      </c>
      <c r="E256" s="3" t="s">
        <v>617</v>
      </c>
      <c r="G256" s="5" t="s">
        <v>615</v>
      </c>
      <c r="H256" s="2">
        <v>1</v>
      </c>
      <c r="I256" s="2">
        <v>2029</v>
      </c>
    </row>
    <row r="257" spans="1:9" x14ac:dyDescent="0.25">
      <c r="A257" s="2" t="s">
        <v>605</v>
      </c>
      <c r="B257" s="3" t="s">
        <v>592</v>
      </c>
      <c r="C257" s="3" t="s">
        <v>602</v>
      </c>
      <c r="D257" s="3" t="s">
        <v>555</v>
      </c>
      <c r="E257" s="3" t="s">
        <v>418</v>
      </c>
      <c r="G257" s="5" t="s">
        <v>615</v>
      </c>
      <c r="H257" s="2">
        <v>1</v>
      </c>
      <c r="I257" s="2">
        <v>2025</v>
      </c>
    </row>
    <row r="258" spans="1:9" hidden="1" x14ac:dyDescent="0.25">
      <c r="A258" s="2" t="s">
        <v>605</v>
      </c>
      <c r="B258" s="3" t="s">
        <v>592</v>
      </c>
      <c r="C258" s="3" t="s">
        <v>602</v>
      </c>
      <c r="D258" s="3" t="s">
        <v>555</v>
      </c>
      <c r="E258" s="3" t="s">
        <v>418</v>
      </c>
      <c r="G258" s="5" t="s">
        <v>615</v>
      </c>
      <c r="H258" s="2">
        <v>2</v>
      </c>
      <c r="I258" s="2">
        <v>2026</v>
      </c>
    </row>
    <row r="259" spans="1:9" hidden="1" x14ac:dyDescent="0.25">
      <c r="A259" s="2" t="s">
        <v>605</v>
      </c>
      <c r="B259" s="3" t="s">
        <v>592</v>
      </c>
      <c r="C259" s="3" t="s">
        <v>602</v>
      </c>
      <c r="D259" s="3" t="s">
        <v>555</v>
      </c>
      <c r="E259" s="3" t="s">
        <v>418</v>
      </c>
      <c r="G259" s="5" t="s">
        <v>615</v>
      </c>
      <c r="H259" s="2">
        <v>2</v>
      </c>
      <c r="I259" s="2">
        <v>2027</v>
      </c>
    </row>
    <row r="260" spans="1:9" hidden="1" x14ac:dyDescent="0.25">
      <c r="A260" s="2" t="s">
        <v>605</v>
      </c>
      <c r="B260" s="3" t="s">
        <v>592</v>
      </c>
      <c r="C260" s="3" t="s">
        <v>602</v>
      </c>
      <c r="D260" s="3" t="s">
        <v>555</v>
      </c>
      <c r="E260" s="3" t="s">
        <v>418</v>
      </c>
      <c r="G260" s="5" t="s">
        <v>615</v>
      </c>
      <c r="H260" s="2">
        <v>2</v>
      </c>
      <c r="I260" s="2">
        <v>2028</v>
      </c>
    </row>
    <row r="261" spans="1:9" hidden="1" x14ac:dyDescent="0.25">
      <c r="A261" s="2" t="s">
        <v>605</v>
      </c>
      <c r="B261" s="3" t="s">
        <v>592</v>
      </c>
      <c r="C261" s="3" t="s">
        <v>602</v>
      </c>
      <c r="D261" s="3" t="s">
        <v>555</v>
      </c>
      <c r="E261" s="3" t="s">
        <v>418</v>
      </c>
      <c r="G261" s="5" t="s">
        <v>615</v>
      </c>
      <c r="H261" s="2">
        <v>1</v>
      </c>
      <c r="I261" s="2">
        <v>2029</v>
      </c>
    </row>
    <row r="262" spans="1:9" x14ac:dyDescent="0.25">
      <c r="A262" s="2" t="s">
        <v>605</v>
      </c>
      <c r="B262" s="3" t="s">
        <v>592</v>
      </c>
      <c r="C262" s="3" t="s">
        <v>602</v>
      </c>
      <c r="D262" s="3" t="s">
        <v>556</v>
      </c>
      <c r="E262" s="3" t="s">
        <v>421</v>
      </c>
      <c r="G262" s="5" t="s">
        <v>615</v>
      </c>
      <c r="H262" s="9">
        <v>0.15</v>
      </c>
      <c r="I262" s="2">
        <v>2025</v>
      </c>
    </row>
    <row r="263" spans="1:9" hidden="1" x14ac:dyDescent="0.25">
      <c r="A263" s="2" t="s">
        <v>605</v>
      </c>
      <c r="B263" s="3" t="s">
        <v>592</v>
      </c>
      <c r="C263" s="3" t="s">
        <v>602</v>
      </c>
      <c r="D263" s="3" t="s">
        <v>556</v>
      </c>
      <c r="E263" s="3" t="s">
        <v>421</v>
      </c>
      <c r="G263" s="5" t="s">
        <v>615</v>
      </c>
      <c r="H263" s="9">
        <v>0.2</v>
      </c>
      <c r="I263" s="2">
        <v>2026</v>
      </c>
    </row>
    <row r="264" spans="1:9" hidden="1" x14ac:dyDescent="0.25">
      <c r="A264" s="2" t="s">
        <v>605</v>
      </c>
      <c r="B264" s="3" t="s">
        <v>592</v>
      </c>
      <c r="C264" s="3" t="s">
        <v>602</v>
      </c>
      <c r="D264" s="3" t="s">
        <v>556</v>
      </c>
      <c r="E264" s="3" t="s">
        <v>421</v>
      </c>
      <c r="G264" s="5" t="s">
        <v>615</v>
      </c>
      <c r="H264" s="9">
        <v>0.25</v>
      </c>
      <c r="I264" s="2">
        <v>2027</v>
      </c>
    </row>
    <row r="265" spans="1:9" hidden="1" x14ac:dyDescent="0.25">
      <c r="A265" s="2" t="s">
        <v>605</v>
      </c>
      <c r="B265" s="3" t="s">
        <v>592</v>
      </c>
      <c r="C265" s="3" t="s">
        <v>602</v>
      </c>
      <c r="D265" s="3" t="s">
        <v>556</v>
      </c>
      <c r="E265" s="3" t="s">
        <v>421</v>
      </c>
      <c r="G265" s="5" t="s">
        <v>615</v>
      </c>
      <c r="H265" s="9">
        <v>0.3</v>
      </c>
      <c r="I265" s="2">
        <v>2028</v>
      </c>
    </row>
    <row r="266" spans="1:9" hidden="1" x14ac:dyDescent="0.25">
      <c r="A266" s="2" t="s">
        <v>605</v>
      </c>
      <c r="B266" s="3" t="s">
        <v>592</v>
      </c>
      <c r="C266" s="3" t="s">
        <v>602</v>
      </c>
      <c r="D266" s="3" t="s">
        <v>556</v>
      </c>
      <c r="E266" s="3" t="s">
        <v>421</v>
      </c>
      <c r="G266" s="5" t="s">
        <v>615</v>
      </c>
      <c r="H266" s="9">
        <v>0.35</v>
      </c>
      <c r="I266" s="2">
        <v>2029</v>
      </c>
    </row>
    <row r="267" spans="1:9" x14ac:dyDescent="0.25">
      <c r="A267" s="2" t="s">
        <v>605</v>
      </c>
      <c r="B267" s="3" t="s">
        <v>592</v>
      </c>
      <c r="C267" s="3" t="s">
        <v>602</v>
      </c>
      <c r="D267" s="3" t="s">
        <v>556</v>
      </c>
      <c r="E267" s="8" t="s">
        <v>422</v>
      </c>
      <c r="G267" s="5" t="s">
        <v>615</v>
      </c>
      <c r="H267" s="9">
        <v>0.15</v>
      </c>
      <c r="I267" s="2">
        <v>2025</v>
      </c>
    </row>
    <row r="268" spans="1:9" hidden="1" x14ac:dyDescent="0.25">
      <c r="A268" s="2" t="s">
        <v>605</v>
      </c>
      <c r="B268" s="3" t="s">
        <v>592</v>
      </c>
      <c r="C268" s="3" t="s">
        <v>602</v>
      </c>
      <c r="D268" s="3" t="s">
        <v>556</v>
      </c>
      <c r="E268" s="8" t="s">
        <v>422</v>
      </c>
      <c r="G268" s="5" t="s">
        <v>615</v>
      </c>
      <c r="H268" s="9">
        <v>0.2</v>
      </c>
      <c r="I268" s="2">
        <v>2026</v>
      </c>
    </row>
    <row r="269" spans="1:9" hidden="1" x14ac:dyDescent="0.25">
      <c r="A269" s="2" t="s">
        <v>605</v>
      </c>
      <c r="B269" s="3" t="s">
        <v>592</v>
      </c>
      <c r="C269" s="3" t="s">
        <v>602</v>
      </c>
      <c r="D269" s="3" t="s">
        <v>556</v>
      </c>
      <c r="E269" s="8" t="s">
        <v>422</v>
      </c>
      <c r="G269" s="5" t="s">
        <v>615</v>
      </c>
      <c r="H269" s="9">
        <v>0.25</v>
      </c>
      <c r="I269" s="2">
        <v>2027</v>
      </c>
    </row>
    <row r="270" spans="1:9" hidden="1" x14ac:dyDescent="0.25">
      <c r="A270" s="2" t="s">
        <v>605</v>
      </c>
      <c r="B270" s="3" t="s">
        <v>592</v>
      </c>
      <c r="C270" s="3" t="s">
        <v>602</v>
      </c>
      <c r="D270" s="3" t="s">
        <v>556</v>
      </c>
      <c r="E270" s="8" t="s">
        <v>422</v>
      </c>
      <c r="G270" s="5" t="s">
        <v>615</v>
      </c>
      <c r="H270" s="9">
        <v>0.3</v>
      </c>
      <c r="I270" s="2">
        <v>2028</v>
      </c>
    </row>
    <row r="271" spans="1:9" hidden="1" x14ac:dyDescent="0.25">
      <c r="A271" s="2" t="s">
        <v>605</v>
      </c>
      <c r="B271" s="3" t="s">
        <v>592</v>
      </c>
      <c r="C271" s="3" t="s">
        <v>602</v>
      </c>
      <c r="D271" s="3" t="s">
        <v>556</v>
      </c>
      <c r="E271" s="7" t="s">
        <v>422</v>
      </c>
      <c r="G271" s="5" t="s">
        <v>615</v>
      </c>
      <c r="H271" s="9">
        <v>0.35</v>
      </c>
      <c r="I271" s="2">
        <v>2029</v>
      </c>
    </row>
    <row r="272" spans="1:9" x14ac:dyDescent="0.25">
      <c r="A272" s="2" t="s">
        <v>605</v>
      </c>
      <c r="B272" s="3" t="s">
        <v>592</v>
      </c>
      <c r="C272" s="3" t="s">
        <v>602</v>
      </c>
      <c r="D272" s="3" t="s">
        <v>556</v>
      </c>
      <c r="E272" s="3" t="s">
        <v>423</v>
      </c>
      <c r="G272" s="5" t="s">
        <v>615</v>
      </c>
      <c r="H272" s="2">
        <v>400</v>
      </c>
      <c r="I272" s="2">
        <v>2025</v>
      </c>
    </row>
    <row r="273" spans="1:9" hidden="1" x14ac:dyDescent="0.25">
      <c r="A273" s="2" t="s">
        <v>605</v>
      </c>
      <c r="B273" s="3" t="s">
        <v>592</v>
      </c>
      <c r="C273" s="3" t="s">
        <v>602</v>
      </c>
      <c r="D273" s="3" t="s">
        <v>556</v>
      </c>
      <c r="E273" s="3" t="s">
        <v>423</v>
      </c>
      <c r="G273" s="5" t="s">
        <v>615</v>
      </c>
      <c r="H273" s="2">
        <v>1000</v>
      </c>
      <c r="I273" s="2">
        <v>2026</v>
      </c>
    </row>
    <row r="274" spans="1:9" hidden="1" x14ac:dyDescent="0.25">
      <c r="A274" s="2" t="s">
        <v>605</v>
      </c>
      <c r="B274" s="3" t="s">
        <v>592</v>
      </c>
      <c r="C274" s="3" t="s">
        <v>602</v>
      </c>
      <c r="D274" s="3" t="s">
        <v>556</v>
      </c>
      <c r="E274" s="3" t="s">
        <v>423</v>
      </c>
      <c r="G274" s="5" t="s">
        <v>615</v>
      </c>
      <c r="H274" s="2">
        <v>1000</v>
      </c>
      <c r="I274" s="2">
        <v>2027</v>
      </c>
    </row>
    <row r="275" spans="1:9" hidden="1" x14ac:dyDescent="0.25">
      <c r="A275" s="2" t="s">
        <v>605</v>
      </c>
      <c r="B275" s="3" t="s">
        <v>592</v>
      </c>
      <c r="C275" s="3" t="s">
        <v>602</v>
      </c>
      <c r="D275" s="3" t="s">
        <v>556</v>
      </c>
      <c r="E275" s="3" t="s">
        <v>423</v>
      </c>
      <c r="G275" s="5" t="s">
        <v>615</v>
      </c>
      <c r="H275" s="2">
        <v>1200</v>
      </c>
      <c r="I275" s="2">
        <v>2028</v>
      </c>
    </row>
    <row r="276" spans="1:9" hidden="1" x14ac:dyDescent="0.25">
      <c r="A276" s="2" t="s">
        <v>605</v>
      </c>
      <c r="B276" s="3" t="s">
        <v>592</v>
      </c>
      <c r="C276" s="3" t="s">
        <v>602</v>
      </c>
      <c r="D276" s="3" t="s">
        <v>556</v>
      </c>
      <c r="E276" s="3" t="s">
        <v>423</v>
      </c>
      <c r="G276" s="5" t="s">
        <v>615</v>
      </c>
      <c r="H276" s="2">
        <v>500</v>
      </c>
      <c r="I276" s="2">
        <v>2029</v>
      </c>
    </row>
    <row r="277" spans="1:9" x14ac:dyDescent="0.25">
      <c r="A277" s="2" t="s">
        <v>605</v>
      </c>
      <c r="B277" s="3" t="s">
        <v>592</v>
      </c>
      <c r="C277" s="3" t="s">
        <v>602</v>
      </c>
      <c r="D277" s="3" t="s">
        <v>556</v>
      </c>
      <c r="E277" s="3" t="s">
        <v>424</v>
      </c>
      <c r="G277" s="5" t="s">
        <v>615</v>
      </c>
      <c r="H277" s="2">
        <v>1000</v>
      </c>
      <c r="I277" s="2">
        <v>2025</v>
      </c>
    </row>
    <row r="278" spans="1:9" hidden="1" x14ac:dyDescent="0.25">
      <c r="A278" s="2" t="s">
        <v>605</v>
      </c>
      <c r="B278" s="3" t="s">
        <v>592</v>
      </c>
      <c r="C278" s="3" t="s">
        <v>602</v>
      </c>
      <c r="D278" s="3" t="s">
        <v>556</v>
      </c>
      <c r="E278" s="3" t="s">
        <v>424</v>
      </c>
      <c r="G278" s="5" t="s">
        <v>615</v>
      </c>
      <c r="H278" s="2">
        <v>1200</v>
      </c>
      <c r="I278" s="2">
        <v>2026</v>
      </c>
    </row>
    <row r="279" spans="1:9" hidden="1" x14ac:dyDescent="0.25">
      <c r="A279" s="2" t="s">
        <v>605</v>
      </c>
      <c r="B279" s="3" t="s">
        <v>592</v>
      </c>
      <c r="C279" s="3" t="s">
        <v>602</v>
      </c>
      <c r="D279" s="3" t="s">
        <v>556</v>
      </c>
      <c r="E279" s="3" t="s">
        <v>424</v>
      </c>
      <c r="G279" s="5" t="s">
        <v>615</v>
      </c>
      <c r="H279" s="2">
        <v>1300</v>
      </c>
      <c r="I279" s="2">
        <v>2027</v>
      </c>
    </row>
    <row r="280" spans="1:9" hidden="1" x14ac:dyDescent="0.25">
      <c r="A280" s="2" t="s">
        <v>605</v>
      </c>
      <c r="B280" s="3" t="s">
        <v>592</v>
      </c>
      <c r="C280" s="3" t="s">
        <v>602</v>
      </c>
      <c r="D280" s="3" t="s">
        <v>556</v>
      </c>
      <c r="E280" s="3" t="s">
        <v>424</v>
      </c>
      <c r="G280" s="5" t="s">
        <v>615</v>
      </c>
      <c r="H280" s="2">
        <v>1400</v>
      </c>
      <c r="I280" s="2">
        <v>2028</v>
      </c>
    </row>
    <row r="281" spans="1:9" hidden="1" x14ac:dyDescent="0.25">
      <c r="A281" s="2" t="s">
        <v>605</v>
      </c>
      <c r="B281" s="3" t="s">
        <v>592</v>
      </c>
      <c r="C281" s="3" t="s">
        <v>602</v>
      </c>
      <c r="D281" s="3" t="s">
        <v>556</v>
      </c>
      <c r="E281" s="3" t="s">
        <v>424</v>
      </c>
      <c r="G281" s="5" t="s">
        <v>615</v>
      </c>
      <c r="H281" s="2">
        <v>500</v>
      </c>
      <c r="I281" s="2">
        <v>2029</v>
      </c>
    </row>
    <row r="282" spans="1:9" x14ac:dyDescent="0.25">
      <c r="A282" s="2" t="s">
        <v>605</v>
      </c>
      <c r="B282" s="3" t="s">
        <v>592</v>
      </c>
      <c r="C282" s="3" t="s">
        <v>602</v>
      </c>
      <c r="D282" s="3" t="s">
        <v>556</v>
      </c>
      <c r="E282" s="3" t="s">
        <v>425</v>
      </c>
      <c r="G282" s="5" t="s">
        <v>615</v>
      </c>
      <c r="H282" s="2">
        <v>1</v>
      </c>
      <c r="I282" s="2">
        <v>2025</v>
      </c>
    </row>
    <row r="283" spans="1:9" hidden="1" x14ac:dyDescent="0.25">
      <c r="A283" s="2" t="s">
        <v>605</v>
      </c>
      <c r="B283" s="3" t="s">
        <v>592</v>
      </c>
      <c r="C283" s="3" t="s">
        <v>602</v>
      </c>
      <c r="D283" s="3" t="s">
        <v>556</v>
      </c>
      <c r="E283" s="3" t="s">
        <v>425</v>
      </c>
      <c r="G283" s="5" t="s">
        <v>615</v>
      </c>
      <c r="H283" s="2">
        <v>2</v>
      </c>
      <c r="I283" s="2">
        <v>2026</v>
      </c>
    </row>
    <row r="284" spans="1:9" hidden="1" x14ac:dyDescent="0.25">
      <c r="A284" s="2" t="s">
        <v>605</v>
      </c>
      <c r="B284" s="3" t="s">
        <v>592</v>
      </c>
      <c r="C284" s="3" t="s">
        <v>602</v>
      </c>
      <c r="D284" s="3" t="s">
        <v>556</v>
      </c>
      <c r="E284" s="3" t="s">
        <v>425</v>
      </c>
      <c r="G284" s="5" t="s">
        <v>615</v>
      </c>
      <c r="H284" s="2">
        <v>2</v>
      </c>
      <c r="I284" s="2">
        <v>2027</v>
      </c>
    </row>
    <row r="285" spans="1:9" hidden="1" x14ac:dyDescent="0.25">
      <c r="A285" s="2" t="s">
        <v>605</v>
      </c>
      <c r="B285" s="3" t="s">
        <v>592</v>
      </c>
      <c r="C285" s="3" t="s">
        <v>602</v>
      </c>
      <c r="D285" s="3" t="s">
        <v>556</v>
      </c>
      <c r="E285" s="3" t="s">
        <v>425</v>
      </c>
      <c r="G285" s="5" t="s">
        <v>615</v>
      </c>
      <c r="H285" s="2">
        <v>2</v>
      </c>
      <c r="I285" s="2">
        <v>2028</v>
      </c>
    </row>
    <row r="286" spans="1:9" hidden="1" x14ac:dyDescent="0.25">
      <c r="A286" s="2" t="s">
        <v>605</v>
      </c>
      <c r="B286" s="3" t="s">
        <v>592</v>
      </c>
      <c r="C286" s="3" t="s">
        <v>602</v>
      </c>
      <c r="D286" s="3" t="s">
        <v>556</v>
      </c>
      <c r="E286" s="3" t="s">
        <v>425</v>
      </c>
      <c r="G286" s="5" t="s">
        <v>615</v>
      </c>
      <c r="H286" s="2">
        <v>2</v>
      </c>
      <c r="I286" s="2">
        <v>2029</v>
      </c>
    </row>
    <row r="287" spans="1:9" x14ac:dyDescent="0.25">
      <c r="A287" s="2" t="s">
        <v>605</v>
      </c>
      <c r="B287" s="3" t="s">
        <v>592</v>
      </c>
      <c r="C287" s="3" t="s">
        <v>602</v>
      </c>
      <c r="D287" s="3" t="s">
        <v>556</v>
      </c>
      <c r="E287" s="3" t="s">
        <v>426</v>
      </c>
      <c r="G287" s="5" t="s">
        <v>615</v>
      </c>
      <c r="H287" s="2">
        <v>1400</v>
      </c>
      <c r="I287" s="2">
        <v>2025</v>
      </c>
    </row>
    <row r="288" spans="1:9" hidden="1" x14ac:dyDescent="0.25">
      <c r="A288" s="2" t="s">
        <v>605</v>
      </c>
      <c r="B288" s="3" t="s">
        <v>592</v>
      </c>
      <c r="C288" s="3" t="s">
        <v>602</v>
      </c>
      <c r="D288" s="3" t="s">
        <v>556</v>
      </c>
      <c r="E288" s="3" t="s">
        <v>426</v>
      </c>
      <c r="G288" s="5" t="s">
        <v>615</v>
      </c>
      <c r="H288" s="2">
        <v>1500</v>
      </c>
      <c r="I288" s="2">
        <v>2026</v>
      </c>
    </row>
    <row r="289" spans="1:9" hidden="1" x14ac:dyDescent="0.25">
      <c r="A289" s="2" t="s">
        <v>605</v>
      </c>
      <c r="B289" s="3" t="s">
        <v>592</v>
      </c>
      <c r="C289" s="3" t="s">
        <v>602</v>
      </c>
      <c r="D289" s="3" t="s">
        <v>556</v>
      </c>
      <c r="E289" s="3" t="s">
        <v>426</v>
      </c>
      <c r="G289" s="5" t="s">
        <v>615</v>
      </c>
      <c r="H289" s="2">
        <v>1600</v>
      </c>
      <c r="I289" s="2">
        <v>2027</v>
      </c>
    </row>
    <row r="290" spans="1:9" hidden="1" x14ac:dyDescent="0.25">
      <c r="A290" s="2" t="s">
        <v>605</v>
      </c>
      <c r="B290" s="3" t="s">
        <v>592</v>
      </c>
      <c r="C290" s="3" t="s">
        <v>602</v>
      </c>
      <c r="D290" s="3" t="s">
        <v>556</v>
      </c>
      <c r="E290" s="3" t="s">
        <v>426</v>
      </c>
      <c r="G290" s="5" t="s">
        <v>615</v>
      </c>
      <c r="H290" s="2">
        <v>1700</v>
      </c>
      <c r="I290" s="2">
        <v>2028</v>
      </c>
    </row>
    <row r="291" spans="1:9" hidden="1" x14ac:dyDescent="0.25">
      <c r="A291" s="2" t="s">
        <v>605</v>
      </c>
      <c r="B291" s="3" t="s">
        <v>592</v>
      </c>
      <c r="C291" s="3" t="s">
        <v>602</v>
      </c>
      <c r="D291" s="3" t="s">
        <v>556</v>
      </c>
      <c r="E291" s="3" t="s">
        <v>426</v>
      </c>
      <c r="G291" s="5" t="s">
        <v>615</v>
      </c>
      <c r="H291" s="2">
        <v>1800</v>
      </c>
      <c r="I291" s="2">
        <v>2029</v>
      </c>
    </row>
    <row r="292" spans="1:9" x14ac:dyDescent="0.25">
      <c r="A292" s="2" t="s">
        <v>605</v>
      </c>
      <c r="B292" s="3" t="s">
        <v>592</v>
      </c>
      <c r="C292" s="3" t="s">
        <v>602</v>
      </c>
      <c r="D292" s="3" t="s">
        <v>557</v>
      </c>
      <c r="E292" s="3" t="s">
        <v>618</v>
      </c>
      <c r="G292" s="5" t="s">
        <v>615</v>
      </c>
      <c r="H292" s="2">
        <v>2</v>
      </c>
      <c r="I292" s="2">
        <v>2025</v>
      </c>
    </row>
    <row r="293" spans="1:9" hidden="1" x14ac:dyDescent="0.25">
      <c r="A293" s="2" t="s">
        <v>605</v>
      </c>
      <c r="B293" s="3" t="s">
        <v>592</v>
      </c>
      <c r="C293" s="3" t="s">
        <v>602</v>
      </c>
      <c r="D293" s="3" t="s">
        <v>557</v>
      </c>
      <c r="E293" s="3" t="s">
        <v>618</v>
      </c>
      <c r="G293" s="5" t="s">
        <v>615</v>
      </c>
      <c r="H293" s="2">
        <v>4</v>
      </c>
      <c r="I293" s="2">
        <v>2026</v>
      </c>
    </row>
    <row r="294" spans="1:9" hidden="1" x14ac:dyDescent="0.25">
      <c r="A294" s="2" t="s">
        <v>605</v>
      </c>
      <c r="B294" s="3" t="s">
        <v>592</v>
      </c>
      <c r="C294" s="3" t="s">
        <v>602</v>
      </c>
      <c r="D294" s="3" t="s">
        <v>557</v>
      </c>
      <c r="E294" s="3" t="s">
        <v>618</v>
      </c>
      <c r="G294" s="5" t="s">
        <v>615</v>
      </c>
      <c r="H294" s="2">
        <v>4</v>
      </c>
      <c r="I294" s="2">
        <v>2027</v>
      </c>
    </row>
    <row r="295" spans="1:9" hidden="1" x14ac:dyDescent="0.25">
      <c r="A295" s="2" t="s">
        <v>605</v>
      </c>
      <c r="B295" s="3" t="s">
        <v>592</v>
      </c>
      <c r="C295" s="3" t="s">
        <v>602</v>
      </c>
      <c r="D295" s="3" t="s">
        <v>557</v>
      </c>
      <c r="E295" s="3" t="s">
        <v>618</v>
      </c>
      <c r="G295" s="5" t="s">
        <v>615</v>
      </c>
      <c r="H295" s="2">
        <v>4</v>
      </c>
      <c r="I295" s="2">
        <v>2028</v>
      </c>
    </row>
    <row r="296" spans="1:9" hidden="1" x14ac:dyDescent="0.25">
      <c r="A296" s="2" t="s">
        <v>605</v>
      </c>
      <c r="B296" s="3" t="s">
        <v>592</v>
      </c>
      <c r="C296" s="3" t="s">
        <v>602</v>
      </c>
      <c r="D296" s="3" t="s">
        <v>557</v>
      </c>
      <c r="E296" s="3" t="s">
        <v>618</v>
      </c>
      <c r="G296" s="5" t="s">
        <v>615</v>
      </c>
      <c r="H296" s="2">
        <v>2</v>
      </c>
      <c r="I296" s="2">
        <v>2029</v>
      </c>
    </row>
    <row r="297" spans="1:9" x14ac:dyDescent="0.25">
      <c r="A297" s="2" t="s">
        <v>605</v>
      </c>
      <c r="B297" s="3" t="s">
        <v>592</v>
      </c>
      <c r="C297" s="3" t="s">
        <v>602</v>
      </c>
      <c r="D297" s="3" t="s">
        <v>557</v>
      </c>
      <c r="E297" s="3" t="s">
        <v>429</v>
      </c>
      <c r="G297" s="5" t="s">
        <v>615</v>
      </c>
      <c r="H297" s="2">
        <v>1</v>
      </c>
      <c r="I297" s="2">
        <v>2025</v>
      </c>
    </row>
    <row r="298" spans="1:9" hidden="1" x14ac:dyDescent="0.25">
      <c r="A298" s="2" t="s">
        <v>605</v>
      </c>
      <c r="B298" s="3" t="s">
        <v>592</v>
      </c>
      <c r="C298" s="3" t="s">
        <v>602</v>
      </c>
      <c r="D298" s="3" t="s">
        <v>557</v>
      </c>
      <c r="E298" s="3" t="s">
        <v>429</v>
      </c>
      <c r="G298" s="5" t="s">
        <v>615</v>
      </c>
      <c r="H298" s="2">
        <v>1</v>
      </c>
      <c r="I298" s="2">
        <v>2026</v>
      </c>
    </row>
    <row r="299" spans="1:9" hidden="1" x14ac:dyDescent="0.25">
      <c r="A299" s="2" t="s">
        <v>605</v>
      </c>
      <c r="B299" s="3" t="s">
        <v>592</v>
      </c>
      <c r="C299" s="3" t="s">
        <v>602</v>
      </c>
      <c r="D299" s="3" t="s">
        <v>557</v>
      </c>
      <c r="E299" s="3" t="s">
        <v>429</v>
      </c>
      <c r="G299" s="5" t="s">
        <v>615</v>
      </c>
      <c r="H299" s="2">
        <v>1</v>
      </c>
      <c r="I299" s="2">
        <v>2027</v>
      </c>
    </row>
    <row r="300" spans="1:9" hidden="1" x14ac:dyDescent="0.25">
      <c r="A300" s="2" t="s">
        <v>605</v>
      </c>
      <c r="B300" s="3" t="s">
        <v>592</v>
      </c>
      <c r="C300" s="3" t="s">
        <v>602</v>
      </c>
      <c r="D300" s="3" t="s">
        <v>557</v>
      </c>
      <c r="E300" s="3" t="s">
        <v>429</v>
      </c>
      <c r="G300" s="5" t="s">
        <v>615</v>
      </c>
      <c r="H300" s="2">
        <v>1</v>
      </c>
      <c r="I300" s="2">
        <v>2028</v>
      </c>
    </row>
    <row r="301" spans="1:9" hidden="1" x14ac:dyDescent="0.25">
      <c r="A301" s="2" t="s">
        <v>605</v>
      </c>
      <c r="B301" s="3" t="s">
        <v>592</v>
      </c>
      <c r="C301" s="3" t="s">
        <v>602</v>
      </c>
      <c r="D301" s="3" t="s">
        <v>557</v>
      </c>
      <c r="E301" s="3" t="s">
        <v>429</v>
      </c>
      <c r="G301" s="5" t="s">
        <v>615</v>
      </c>
      <c r="H301" s="2">
        <v>1</v>
      </c>
      <c r="I301" s="2">
        <v>2029</v>
      </c>
    </row>
    <row r="302" spans="1:9" x14ac:dyDescent="0.25">
      <c r="A302" s="2" t="s">
        <v>605</v>
      </c>
      <c r="B302" s="3" t="s">
        <v>592</v>
      </c>
      <c r="C302" s="3" t="s">
        <v>602</v>
      </c>
      <c r="D302" s="3" t="s">
        <v>557</v>
      </c>
      <c r="E302" s="3" t="s">
        <v>430</v>
      </c>
      <c r="G302" s="5" t="s">
        <v>615</v>
      </c>
      <c r="H302" s="9">
        <v>0.05</v>
      </c>
      <c r="I302" s="2">
        <v>2025</v>
      </c>
    </row>
    <row r="303" spans="1:9" hidden="1" x14ac:dyDescent="0.25">
      <c r="A303" s="2" t="s">
        <v>605</v>
      </c>
      <c r="B303" s="3" t="s">
        <v>592</v>
      </c>
      <c r="C303" s="3" t="s">
        <v>602</v>
      </c>
      <c r="D303" s="3" t="s">
        <v>557</v>
      </c>
      <c r="E303" s="3" t="s">
        <v>430</v>
      </c>
      <c r="G303" s="5" t="s">
        <v>615</v>
      </c>
      <c r="H303" s="9">
        <v>0.08</v>
      </c>
      <c r="I303" s="2">
        <v>2026</v>
      </c>
    </row>
    <row r="304" spans="1:9" hidden="1" x14ac:dyDescent="0.25">
      <c r="A304" s="2" t="s">
        <v>605</v>
      </c>
      <c r="B304" s="3" t="s">
        <v>592</v>
      </c>
      <c r="C304" s="3" t="s">
        <v>602</v>
      </c>
      <c r="D304" s="3" t="s">
        <v>557</v>
      </c>
      <c r="E304" s="3" t="s">
        <v>430</v>
      </c>
      <c r="G304" s="5" t="s">
        <v>615</v>
      </c>
      <c r="H304" s="9">
        <v>0.09</v>
      </c>
      <c r="I304" s="2">
        <v>2027</v>
      </c>
    </row>
    <row r="305" spans="1:9" hidden="1" x14ac:dyDescent="0.25">
      <c r="A305" s="2" t="s">
        <v>605</v>
      </c>
      <c r="B305" s="3" t="s">
        <v>592</v>
      </c>
      <c r="C305" s="3" t="s">
        <v>602</v>
      </c>
      <c r="D305" s="3" t="s">
        <v>557</v>
      </c>
      <c r="E305" s="3" t="s">
        <v>430</v>
      </c>
      <c r="G305" s="5" t="s">
        <v>615</v>
      </c>
      <c r="H305" s="9">
        <v>0.1</v>
      </c>
      <c r="I305" s="2">
        <v>2028</v>
      </c>
    </row>
    <row r="306" spans="1:9" hidden="1" x14ac:dyDescent="0.25">
      <c r="A306" s="2" t="s">
        <v>605</v>
      </c>
      <c r="B306" s="3" t="s">
        <v>592</v>
      </c>
      <c r="C306" s="3" t="s">
        <v>602</v>
      </c>
      <c r="D306" s="3" t="s">
        <v>557</v>
      </c>
      <c r="E306" s="3" t="s">
        <v>430</v>
      </c>
      <c r="G306" s="5" t="s">
        <v>615</v>
      </c>
      <c r="H306" s="9">
        <v>0.1</v>
      </c>
      <c r="I306" s="2">
        <v>2029</v>
      </c>
    </row>
    <row r="307" spans="1:9" x14ac:dyDescent="0.25">
      <c r="A307" s="2" t="s">
        <v>605</v>
      </c>
      <c r="B307" s="3" t="s">
        <v>592</v>
      </c>
      <c r="C307" s="3" t="s">
        <v>602</v>
      </c>
      <c r="D307" s="3" t="s">
        <v>433</v>
      </c>
      <c r="E307" s="10"/>
      <c r="G307" s="10"/>
      <c r="H307" s="5"/>
      <c r="I307" s="2">
        <v>2025</v>
      </c>
    </row>
    <row r="308" spans="1:9" hidden="1" x14ac:dyDescent="0.25">
      <c r="A308" s="2" t="s">
        <v>605</v>
      </c>
      <c r="B308" s="3" t="s">
        <v>592</v>
      </c>
      <c r="C308" s="3" t="s">
        <v>602</v>
      </c>
      <c r="D308" s="3" t="s">
        <v>433</v>
      </c>
      <c r="E308" s="10"/>
      <c r="G308" s="10"/>
      <c r="H308" s="5"/>
      <c r="I308" s="2">
        <v>2026</v>
      </c>
    </row>
    <row r="309" spans="1:9" hidden="1" x14ac:dyDescent="0.25">
      <c r="A309" s="2" t="s">
        <v>605</v>
      </c>
      <c r="B309" s="3" t="s">
        <v>592</v>
      </c>
      <c r="C309" s="3" t="s">
        <v>602</v>
      </c>
      <c r="D309" s="3" t="s">
        <v>433</v>
      </c>
      <c r="E309" s="10"/>
      <c r="G309" s="10"/>
      <c r="H309" s="5"/>
      <c r="I309" s="2">
        <v>2027</v>
      </c>
    </row>
    <row r="310" spans="1:9" hidden="1" x14ac:dyDescent="0.25">
      <c r="A310" s="2" t="s">
        <v>605</v>
      </c>
      <c r="B310" s="3" t="s">
        <v>592</v>
      </c>
      <c r="C310" s="3" t="s">
        <v>602</v>
      </c>
      <c r="D310" s="3" t="s">
        <v>433</v>
      </c>
      <c r="E310" s="10"/>
      <c r="G310" s="10"/>
      <c r="H310" s="5"/>
      <c r="I310" s="2">
        <v>2028</v>
      </c>
    </row>
    <row r="311" spans="1:9" hidden="1" x14ac:dyDescent="0.25">
      <c r="A311" s="2" t="s">
        <v>605</v>
      </c>
      <c r="B311" s="3" t="s">
        <v>592</v>
      </c>
      <c r="C311" s="3" t="s">
        <v>602</v>
      </c>
      <c r="D311" s="3" t="s">
        <v>433</v>
      </c>
      <c r="E311" s="10"/>
      <c r="G311" s="10"/>
      <c r="H311" s="5"/>
      <c r="I311" s="2">
        <v>2029</v>
      </c>
    </row>
    <row r="312" spans="1:9" x14ac:dyDescent="0.25">
      <c r="A312" s="2" t="s">
        <v>605</v>
      </c>
      <c r="B312" s="3" t="s">
        <v>592</v>
      </c>
      <c r="C312" s="3" t="s">
        <v>602</v>
      </c>
      <c r="D312" s="3" t="s">
        <v>433</v>
      </c>
      <c r="E312" s="10"/>
      <c r="G312" s="10"/>
      <c r="H312" s="5"/>
      <c r="I312" s="2">
        <v>2025</v>
      </c>
    </row>
    <row r="313" spans="1:9" hidden="1" x14ac:dyDescent="0.25">
      <c r="A313" s="2" t="s">
        <v>605</v>
      </c>
      <c r="B313" s="3" t="s">
        <v>592</v>
      </c>
      <c r="C313" s="3" t="s">
        <v>602</v>
      </c>
      <c r="D313" s="3" t="s">
        <v>433</v>
      </c>
      <c r="E313" s="10"/>
      <c r="G313" s="10"/>
      <c r="H313" s="5"/>
      <c r="I313" s="2">
        <v>2026</v>
      </c>
    </row>
    <row r="314" spans="1:9" hidden="1" x14ac:dyDescent="0.25">
      <c r="A314" s="2" t="s">
        <v>605</v>
      </c>
      <c r="B314" s="3" t="s">
        <v>592</v>
      </c>
      <c r="C314" s="3" t="s">
        <v>602</v>
      </c>
      <c r="D314" s="3" t="s">
        <v>433</v>
      </c>
      <c r="E314" s="10"/>
      <c r="G314" s="10"/>
      <c r="H314" s="5"/>
      <c r="I314" s="2">
        <v>2027</v>
      </c>
    </row>
    <row r="315" spans="1:9" hidden="1" x14ac:dyDescent="0.25">
      <c r="A315" s="2" t="s">
        <v>605</v>
      </c>
      <c r="B315" s="3" t="s">
        <v>592</v>
      </c>
      <c r="C315" s="3" t="s">
        <v>602</v>
      </c>
      <c r="D315" s="3" t="s">
        <v>433</v>
      </c>
      <c r="E315" s="10"/>
      <c r="G315" s="10"/>
      <c r="H315" s="5"/>
      <c r="I315" s="2">
        <v>2028</v>
      </c>
    </row>
    <row r="316" spans="1:9" hidden="1" x14ac:dyDescent="0.25">
      <c r="A316" s="2" t="s">
        <v>605</v>
      </c>
      <c r="B316" s="3" t="s">
        <v>592</v>
      </c>
      <c r="C316" s="3" t="s">
        <v>602</v>
      </c>
      <c r="D316" s="3" t="s">
        <v>433</v>
      </c>
      <c r="E316" s="10"/>
      <c r="G316" s="10"/>
      <c r="H316" s="5"/>
      <c r="I316" s="2">
        <v>2029</v>
      </c>
    </row>
    <row r="317" spans="1:9" x14ac:dyDescent="0.25">
      <c r="A317" s="2" t="s">
        <v>605</v>
      </c>
      <c r="B317" s="3" t="s">
        <v>592</v>
      </c>
      <c r="C317" s="3" t="s">
        <v>602</v>
      </c>
      <c r="D317" s="3" t="s">
        <v>436</v>
      </c>
      <c r="E317" s="10"/>
      <c r="G317" s="10"/>
      <c r="H317" s="5"/>
      <c r="I317" s="2">
        <v>2025</v>
      </c>
    </row>
    <row r="318" spans="1:9" hidden="1" x14ac:dyDescent="0.25">
      <c r="A318" s="2" t="s">
        <v>605</v>
      </c>
      <c r="B318" s="3" t="s">
        <v>592</v>
      </c>
      <c r="C318" s="3" t="s">
        <v>602</v>
      </c>
      <c r="D318" s="3" t="s">
        <v>436</v>
      </c>
      <c r="E318" s="10"/>
      <c r="G318" s="10"/>
      <c r="H318" s="5"/>
      <c r="I318" s="2">
        <v>2026</v>
      </c>
    </row>
    <row r="319" spans="1:9" hidden="1" x14ac:dyDescent="0.25">
      <c r="A319" s="2" t="s">
        <v>605</v>
      </c>
      <c r="B319" s="3" t="s">
        <v>592</v>
      </c>
      <c r="C319" s="3" t="s">
        <v>602</v>
      </c>
      <c r="D319" s="3" t="s">
        <v>436</v>
      </c>
      <c r="E319" s="10"/>
      <c r="G319" s="10"/>
      <c r="H319" s="5"/>
      <c r="I319" s="2">
        <v>2027</v>
      </c>
    </row>
    <row r="320" spans="1:9" hidden="1" x14ac:dyDescent="0.25">
      <c r="A320" s="2" t="s">
        <v>605</v>
      </c>
      <c r="B320" s="3" t="s">
        <v>592</v>
      </c>
      <c r="C320" s="3" t="s">
        <v>602</v>
      </c>
      <c r="D320" s="3" t="s">
        <v>436</v>
      </c>
      <c r="E320" s="10"/>
      <c r="G320" s="10"/>
      <c r="H320" s="5"/>
      <c r="I320" s="2">
        <v>2028</v>
      </c>
    </row>
    <row r="321" spans="1:9" hidden="1" x14ac:dyDescent="0.25">
      <c r="A321" s="2" t="s">
        <v>605</v>
      </c>
      <c r="B321" s="3" t="s">
        <v>592</v>
      </c>
      <c r="C321" s="3" t="s">
        <v>602</v>
      </c>
      <c r="D321" s="3" t="s">
        <v>436</v>
      </c>
      <c r="E321" s="10"/>
      <c r="G321" s="10"/>
      <c r="H321" s="5"/>
      <c r="I321" s="2">
        <v>2029</v>
      </c>
    </row>
    <row r="322" spans="1:9" x14ac:dyDescent="0.25">
      <c r="A322" s="2" t="s">
        <v>605</v>
      </c>
      <c r="B322" s="3" t="s">
        <v>592</v>
      </c>
      <c r="C322" s="3" t="s">
        <v>602</v>
      </c>
      <c r="D322" s="3" t="s">
        <v>436</v>
      </c>
      <c r="E322" s="10"/>
      <c r="G322" s="10"/>
      <c r="H322" s="5"/>
      <c r="I322" s="2">
        <v>2025</v>
      </c>
    </row>
    <row r="323" spans="1:9" hidden="1" x14ac:dyDescent="0.25">
      <c r="A323" s="2" t="s">
        <v>605</v>
      </c>
      <c r="B323" s="3" t="s">
        <v>592</v>
      </c>
      <c r="C323" s="3" t="s">
        <v>602</v>
      </c>
      <c r="D323" s="3" t="s">
        <v>436</v>
      </c>
      <c r="E323" s="10"/>
      <c r="G323" s="10"/>
      <c r="H323" s="5"/>
      <c r="I323" s="2">
        <v>2026</v>
      </c>
    </row>
    <row r="324" spans="1:9" hidden="1" x14ac:dyDescent="0.25">
      <c r="A324" s="2" t="s">
        <v>605</v>
      </c>
      <c r="B324" s="3" t="s">
        <v>592</v>
      </c>
      <c r="C324" s="3" t="s">
        <v>602</v>
      </c>
      <c r="D324" s="3" t="s">
        <v>436</v>
      </c>
      <c r="E324" s="10"/>
      <c r="G324" s="10"/>
      <c r="H324" s="5"/>
      <c r="I324" s="2">
        <v>2027</v>
      </c>
    </row>
    <row r="325" spans="1:9" hidden="1" x14ac:dyDescent="0.25">
      <c r="A325" s="2" t="s">
        <v>605</v>
      </c>
      <c r="B325" s="3" t="s">
        <v>592</v>
      </c>
      <c r="C325" s="3" t="s">
        <v>602</v>
      </c>
      <c r="D325" s="3" t="s">
        <v>436</v>
      </c>
      <c r="E325" s="10"/>
      <c r="G325" s="10"/>
      <c r="H325" s="5"/>
      <c r="I325" s="2">
        <v>2028</v>
      </c>
    </row>
    <row r="326" spans="1:9" hidden="1" x14ac:dyDescent="0.25">
      <c r="A326" s="2" t="s">
        <v>605</v>
      </c>
      <c r="B326" s="3" t="s">
        <v>592</v>
      </c>
      <c r="C326" s="3" t="s">
        <v>602</v>
      </c>
      <c r="D326" s="3" t="s">
        <v>436</v>
      </c>
      <c r="E326" s="10"/>
      <c r="G326" s="10"/>
      <c r="H326" s="5"/>
      <c r="I326" s="2">
        <v>2029</v>
      </c>
    </row>
    <row r="327" spans="1:9" x14ac:dyDescent="0.25">
      <c r="A327" s="2" t="s">
        <v>605</v>
      </c>
      <c r="B327" s="3" t="s">
        <v>592</v>
      </c>
      <c r="C327" s="3" t="s">
        <v>603</v>
      </c>
      <c r="D327" s="3" t="s">
        <v>619</v>
      </c>
      <c r="E327" s="10"/>
      <c r="G327" s="10"/>
      <c r="H327" s="5"/>
      <c r="I327" s="2">
        <v>2025</v>
      </c>
    </row>
    <row r="328" spans="1:9" hidden="1" x14ac:dyDescent="0.25">
      <c r="A328" s="2" t="s">
        <v>605</v>
      </c>
      <c r="B328" s="3" t="s">
        <v>592</v>
      </c>
      <c r="C328" s="3" t="s">
        <v>603</v>
      </c>
      <c r="D328" s="3" t="s">
        <v>619</v>
      </c>
      <c r="E328" s="10"/>
      <c r="G328" s="10"/>
      <c r="H328" s="5"/>
      <c r="I328" s="2">
        <v>2026</v>
      </c>
    </row>
    <row r="329" spans="1:9" hidden="1" x14ac:dyDescent="0.25">
      <c r="A329" s="2" t="s">
        <v>605</v>
      </c>
      <c r="B329" s="3" t="s">
        <v>592</v>
      </c>
      <c r="C329" s="3" t="s">
        <v>603</v>
      </c>
      <c r="D329" s="3" t="s">
        <v>619</v>
      </c>
      <c r="E329" s="10"/>
      <c r="G329" s="10"/>
      <c r="H329" s="5"/>
      <c r="I329" s="2">
        <v>2027</v>
      </c>
    </row>
    <row r="330" spans="1:9" hidden="1" x14ac:dyDescent="0.25">
      <c r="A330" s="2" t="s">
        <v>605</v>
      </c>
      <c r="B330" s="3" t="s">
        <v>592</v>
      </c>
      <c r="C330" s="3" t="s">
        <v>603</v>
      </c>
      <c r="D330" s="3" t="s">
        <v>619</v>
      </c>
      <c r="E330" s="10"/>
      <c r="G330" s="10"/>
      <c r="H330" s="5"/>
      <c r="I330" s="2">
        <v>2028</v>
      </c>
    </row>
    <row r="331" spans="1:9" hidden="1" x14ac:dyDescent="0.25">
      <c r="A331" s="2" t="s">
        <v>605</v>
      </c>
      <c r="B331" s="3" t="s">
        <v>592</v>
      </c>
      <c r="C331" s="3" t="s">
        <v>603</v>
      </c>
      <c r="D331" s="3" t="s">
        <v>619</v>
      </c>
      <c r="E331" s="10"/>
      <c r="G331" s="10"/>
      <c r="H331" s="5"/>
      <c r="I331" s="2">
        <v>2029</v>
      </c>
    </row>
    <row r="332" spans="1:9" x14ac:dyDescent="0.25">
      <c r="A332" s="2" t="s">
        <v>605</v>
      </c>
      <c r="B332" s="3" t="s">
        <v>592</v>
      </c>
      <c r="C332" s="3" t="s">
        <v>603</v>
      </c>
      <c r="D332" s="3" t="s">
        <v>620</v>
      </c>
      <c r="E332" s="10"/>
      <c r="G332" s="10"/>
      <c r="H332" s="5"/>
      <c r="I332" s="2">
        <v>2025</v>
      </c>
    </row>
    <row r="333" spans="1:9" hidden="1" x14ac:dyDescent="0.25">
      <c r="A333" s="2" t="s">
        <v>605</v>
      </c>
      <c r="B333" s="3" t="s">
        <v>592</v>
      </c>
      <c r="C333" s="3" t="s">
        <v>603</v>
      </c>
      <c r="D333" s="3" t="s">
        <v>620</v>
      </c>
      <c r="E333" s="10"/>
      <c r="G333" s="10"/>
      <c r="H333" s="5"/>
      <c r="I333" s="2">
        <v>2026</v>
      </c>
    </row>
    <row r="334" spans="1:9" hidden="1" x14ac:dyDescent="0.25">
      <c r="A334" s="2" t="s">
        <v>605</v>
      </c>
      <c r="B334" s="3" t="s">
        <v>592</v>
      </c>
      <c r="C334" s="3" t="s">
        <v>603</v>
      </c>
      <c r="D334" s="3" t="s">
        <v>620</v>
      </c>
      <c r="E334" s="10"/>
      <c r="G334" s="10"/>
      <c r="H334" s="5"/>
      <c r="I334" s="2">
        <v>2027</v>
      </c>
    </row>
    <row r="335" spans="1:9" hidden="1" x14ac:dyDescent="0.25">
      <c r="A335" s="2" t="s">
        <v>605</v>
      </c>
      <c r="B335" s="3" t="s">
        <v>592</v>
      </c>
      <c r="C335" s="3" t="s">
        <v>603</v>
      </c>
      <c r="D335" s="3" t="s">
        <v>620</v>
      </c>
      <c r="E335" s="10"/>
      <c r="G335" s="10"/>
      <c r="H335" s="5"/>
      <c r="I335" s="2">
        <v>2028</v>
      </c>
    </row>
    <row r="336" spans="1:9" ht="16.5" hidden="1" customHeight="1" x14ac:dyDescent="0.25">
      <c r="A336" s="2" t="s">
        <v>605</v>
      </c>
      <c r="B336" s="3" t="s">
        <v>592</v>
      </c>
      <c r="C336" s="3" t="s">
        <v>603</v>
      </c>
      <c r="D336" s="3" t="s">
        <v>620</v>
      </c>
      <c r="E336" s="10"/>
      <c r="G336" s="10"/>
      <c r="H336" s="5"/>
      <c r="I336" s="2">
        <v>2029</v>
      </c>
    </row>
    <row r="337" spans="1:9" ht="16.5" customHeight="1" x14ac:dyDescent="0.25">
      <c r="A337" s="2" t="s">
        <v>605</v>
      </c>
      <c r="B337" s="3" t="s">
        <v>592</v>
      </c>
      <c r="C337" s="3" t="s">
        <v>603</v>
      </c>
      <c r="D337" s="3" t="s">
        <v>621</v>
      </c>
      <c r="E337" s="11" t="s">
        <v>622</v>
      </c>
      <c r="F337" s="11"/>
      <c r="G337" s="6" t="s">
        <v>623</v>
      </c>
      <c r="H337" s="12">
        <v>0.15</v>
      </c>
      <c r="I337" s="2">
        <v>2025</v>
      </c>
    </row>
    <row r="338" spans="1:9" ht="16.5" hidden="1" customHeight="1" x14ac:dyDescent="0.25">
      <c r="A338" s="2" t="s">
        <v>605</v>
      </c>
      <c r="B338" s="3" t="s">
        <v>592</v>
      </c>
      <c r="C338" s="3" t="s">
        <v>603</v>
      </c>
      <c r="D338" s="3" t="s">
        <v>621</v>
      </c>
      <c r="E338" s="11" t="s">
        <v>622</v>
      </c>
      <c r="F338" s="11"/>
      <c r="G338" s="6" t="s">
        <v>623</v>
      </c>
      <c r="H338" s="12">
        <v>0.4</v>
      </c>
      <c r="I338" s="2">
        <v>2026</v>
      </c>
    </row>
    <row r="339" spans="1:9" ht="16.5" hidden="1" customHeight="1" x14ac:dyDescent="0.25">
      <c r="A339" s="2" t="s">
        <v>605</v>
      </c>
      <c r="B339" s="3" t="s">
        <v>592</v>
      </c>
      <c r="C339" s="3" t="s">
        <v>603</v>
      </c>
      <c r="D339" s="3" t="s">
        <v>621</v>
      </c>
      <c r="E339" s="11" t="s">
        <v>622</v>
      </c>
      <c r="F339" s="11"/>
      <c r="G339" s="6" t="s">
        <v>623</v>
      </c>
      <c r="H339" s="12">
        <v>0.8</v>
      </c>
      <c r="I339" s="2">
        <v>2027</v>
      </c>
    </row>
    <row r="340" spans="1:9" ht="16.5" hidden="1" customHeight="1" x14ac:dyDescent="0.25">
      <c r="A340" s="2" t="s">
        <v>605</v>
      </c>
      <c r="B340" s="3" t="s">
        <v>592</v>
      </c>
      <c r="C340" s="3" t="s">
        <v>603</v>
      </c>
      <c r="D340" s="3" t="s">
        <v>621</v>
      </c>
      <c r="E340" s="11" t="s">
        <v>622</v>
      </c>
      <c r="F340" s="11"/>
      <c r="G340" s="6" t="s">
        <v>623</v>
      </c>
      <c r="H340" s="12">
        <v>1</v>
      </c>
      <c r="I340" s="2">
        <v>2028</v>
      </c>
    </row>
    <row r="341" spans="1:9" ht="16.5" hidden="1" customHeight="1" x14ac:dyDescent="0.25">
      <c r="A341" s="2" t="s">
        <v>605</v>
      </c>
      <c r="B341" s="3" t="s">
        <v>592</v>
      </c>
      <c r="C341" s="3" t="s">
        <v>603</v>
      </c>
      <c r="D341" s="3" t="s">
        <v>621</v>
      </c>
      <c r="E341" s="11" t="s">
        <v>622</v>
      </c>
      <c r="F341" s="11"/>
      <c r="G341" s="6" t="s">
        <v>623</v>
      </c>
      <c r="H341" s="12">
        <v>1</v>
      </c>
      <c r="I341" s="2">
        <v>2029</v>
      </c>
    </row>
    <row r="342" spans="1:9" ht="16.5" customHeight="1" x14ac:dyDescent="0.25">
      <c r="A342" s="2" t="s">
        <v>605</v>
      </c>
      <c r="B342" s="3" t="s">
        <v>592</v>
      </c>
      <c r="C342" s="3" t="s">
        <v>603</v>
      </c>
      <c r="D342" s="3" t="s">
        <v>621</v>
      </c>
      <c r="E342" s="11" t="s">
        <v>624</v>
      </c>
      <c r="F342" s="11"/>
      <c r="G342" s="6" t="s">
        <v>623</v>
      </c>
      <c r="H342" s="12">
        <v>0.98</v>
      </c>
      <c r="I342" s="2">
        <v>2025</v>
      </c>
    </row>
    <row r="343" spans="1:9" ht="16.5" hidden="1" customHeight="1" x14ac:dyDescent="0.25">
      <c r="A343" s="2" t="s">
        <v>605</v>
      </c>
      <c r="B343" s="3" t="s">
        <v>592</v>
      </c>
      <c r="C343" s="3" t="s">
        <v>603</v>
      </c>
      <c r="D343" s="3" t="s">
        <v>621</v>
      </c>
      <c r="E343" s="11" t="s">
        <v>624</v>
      </c>
      <c r="F343" s="11"/>
      <c r="G343" s="6" t="s">
        <v>623</v>
      </c>
      <c r="H343" s="12">
        <v>0.98</v>
      </c>
      <c r="I343" s="2">
        <v>2026</v>
      </c>
    </row>
    <row r="344" spans="1:9" ht="16.5" hidden="1" customHeight="1" x14ac:dyDescent="0.25">
      <c r="A344" s="2" t="s">
        <v>605</v>
      </c>
      <c r="B344" s="3" t="s">
        <v>592</v>
      </c>
      <c r="C344" s="3" t="s">
        <v>603</v>
      </c>
      <c r="D344" s="3" t="s">
        <v>621</v>
      </c>
      <c r="E344" s="11" t="s">
        <v>624</v>
      </c>
      <c r="F344" s="11"/>
      <c r="G344" s="6" t="s">
        <v>623</v>
      </c>
      <c r="H344" s="12">
        <v>0.98</v>
      </c>
      <c r="I344" s="2">
        <v>2027</v>
      </c>
    </row>
    <row r="345" spans="1:9" ht="16.5" hidden="1" customHeight="1" x14ac:dyDescent="0.25">
      <c r="A345" s="2" t="s">
        <v>605</v>
      </c>
      <c r="B345" s="3" t="s">
        <v>592</v>
      </c>
      <c r="C345" s="3" t="s">
        <v>603</v>
      </c>
      <c r="D345" s="3" t="s">
        <v>621</v>
      </c>
      <c r="E345" s="11" t="s">
        <v>624</v>
      </c>
      <c r="F345" s="11"/>
      <c r="G345" s="6" t="s">
        <v>623</v>
      </c>
      <c r="H345" s="12">
        <v>0.98</v>
      </c>
      <c r="I345" s="2">
        <v>2028</v>
      </c>
    </row>
    <row r="346" spans="1:9" ht="16.5" hidden="1" customHeight="1" x14ac:dyDescent="0.25">
      <c r="A346" s="2" t="s">
        <v>605</v>
      </c>
      <c r="B346" s="3" t="s">
        <v>592</v>
      </c>
      <c r="C346" s="3" t="s">
        <v>603</v>
      </c>
      <c r="D346" s="3" t="s">
        <v>621</v>
      </c>
      <c r="E346" s="11" t="s">
        <v>624</v>
      </c>
      <c r="F346" s="11"/>
      <c r="G346" s="6" t="s">
        <v>623</v>
      </c>
      <c r="H346" s="12">
        <v>0.2</v>
      </c>
      <c r="I346" s="2">
        <v>2029</v>
      </c>
    </row>
    <row r="347" spans="1:9" ht="16.5" customHeight="1" x14ac:dyDescent="0.25">
      <c r="A347" s="2" t="s">
        <v>605</v>
      </c>
      <c r="B347" s="3" t="s">
        <v>592</v>
      </c>
      <c r="C347" s="3" t="s">
        <v>603</v>
      </c>
      <c r="D347" s="3" t="s">
        <v>621</v>
      </c>
      <c r="E347" s="11" t="s">
        <v>625</v>
      </c>
      <c r="F347" s="11"/>
      <c r="G347" s="6" t="s">
        <v>623</v>
      </c>
      <c r="H347" s="12">
        <v>0.01</v>
      </c>
      <c r="I347" s="2">
        <v>2025</v>
      </c>
    </row>
    <row r="348" spans="1:9" ht="16.5" hidden="1" customHeight="1" x14ac:dyDescent="0.25">
      <c r="A348" s="2" t="s">
        <v>605</v>
      </c>
      <c r="B348" s="3" t="s">
        <v>592</v>
      </c>
      <c r="C348" s="3" t="s">
        <v>603</v>
      </c>
      <c r="D348" s="3" t="s">
        <v>621</v>
      </c>
      <c r="E348" s="11" t="s">
        <v>625</v>
      </c>
      <c r="F348" s="11"/>
      <c r="G348" s="6" t="s">
        <v>623</v>
      </c>
      <c r="H348" s="12">
        <v>0.01</v>
      </c>
      <c r="I348" s="2">
        <v>2026</v>
      </c>
    </row>
    <row r="349" spans="1:9" ht="16.5" hidden="1" customHeight="1" x14ac:dyDescent="0.25">
      <c r="A349" s="2" t="s">
        <v>605</v>
      </c>
      <c r="B349" s="3" t="s">
        <v>592</v>
      </c>
      <c r="C349" s="3" t="s">
        <v>603</v>
      </c>
      <c r="D349" s="3" t="s">
        <v>621</v>
      </c>
      <c r="E349" s="11" t="s">
        <v>625</v>
      </c>
      <c r="F349" s="11"/>
      <c r="G349" s="6" t="s">
        <v>623</v>
      </c>
      <c r="H349" s="12">
        <v>0.02</v>
      </c>
      <c r="I349" s="2">
        <v>2027</v>
      </c>
    </row>
    <row r="350" spans="1:9" ht="16.5" hidden="1" customHeight="1" x14ac:dyDescent="0.25">
      <c r="A350" s="2" t="s">
        <v>605</v>
      </c>
      <c r="B350" s="3" t="s">
        <v>592</v>
      </c>
      <c r="C350" s="3" t="s">
        <v>603</v>
      </c>
      <c r="D350" s="3" t="s">
        <v>621</v>
      </c>
      <c r="E350" s="11" t="s">
        <v>625</v>
      </c>
      <c r="F350" s="11"/>
      <c r="G350" s="6" t="s">
        <v>623</v>
      </c>
      <c r="H350" s="12">
        <v>0.03</v>
      </c>
      <c r="I350" s="2">
        <v>2028</v>
      </c>
    </row>
    <row r="351" spans="1:9" ht="16.5" hidden="1" customHeight="1" x14ac:dyDescent="0.25">
      <c r="A351" s="2" t="s">
        <v>605</v>
      </c>
      <c r="B351" s="3" t="s">
        <v>592</v>
      </c>
      <c r="C351" s="3" t="s">
        <v>603</v>
      </c>
      <c r="D351" s="3" t="s">
        <v>621</v>
      </c>
      <c r="E351" s="11" t="s">
        <v>625</v>
      </c>
      <c r="F351" s="11"/>
      <c r="G351" s="6" t="s">
        <v>623</v>
      </c>
      <c r="H351" s="12">
        <v>0</v>
      </c>
      <c r="I351" s="2">
        <v>2029</v>
      </c>
    </row>
    <row r="352" spans="1:9" ht="16.5" customHeight="1" x14ac:dyDescent="0.25">
      <c r="A352" s="2" t="s">
        <v>605</v>
      </c>
      <c r="B352" s="3" t="s">
        <v>592</v>
      </c>
      <c r="C352" s="3" t="s">
        <v>603</v>
      </c>
      <c r="D352" s="3" t="s">
        <v>621</v>
      </c>
      <c r="E352" s="11" t="s">
        <v>626</v>
      </c>
      <c r="F352" s="11"/>
      <c r="G352" s="6" t="s">
        <v>623</v>
      </c>
      <c r="H352" s="12">
        <v>0.01</v>
      </c>
      <c r="I352" s="2">
        <v>2025</v>
      </c>
    </row>
    <row r="353" spans="1:9" ht="16.5" hidden="1" customHeight="1" x14ac:dyDescent="0.25">
      <c r="A353" s="2" t="s">
        <v>605</v>
      </c>
      <c r="B353" s="3" t="s">
        <v>592</v>
      </c>
      <c r="C353" s="3" t="s">
        <v>603</v>
      </c>
      <c r="D353" s="3" t="s">
        <v>621</v>
      </c>
      <c r="E353" s="11" t="s">
        <v>626</v>
      </c>
      <c r="F353" s="11"/>
      <c r="G353" s="6" t="s">
        <v>623</v>
      </c>
      <c r="H353" s="12">
        <v>0.01</v>
      </c>
      <c r="I353" s="2">
        <v>2026</v>
      </c>
    </row>
    <row r="354" spans="1:9" ht="16.5" hidden="1" customHeight="1" x14ac:dyDescent="0.25">
      <c r="A354" s="2" t="s">
        <v>605</v>
      </c>
      <c r="B354" s="3" t="s">
        <v>592</v>
      </c>
      <c r="C354" s="3" t="s">
        <v>603</v>
      </c>
      <c r="D354" s="3" t="s">
        <v>621</v>
      </c>
      <c r="E354" s="11" t="s">
        <v>626</v>
      </c>
      <c r="F354" s="11"/>
      <c r="G354" s="6" t="s">
        <v>623</v>
      </c>
      <c r="H354" s="12">
        <v>0.02</v>
      </c>
      <c r="I354" s="2">
        <v>2027</v>
      </c>
    </row>
    <row r="355" spans="1:9" ht="16.5" hidden="1" customHeight="1" x14ac:dyDescent="0.25">
      <c r="A355" s="2" t="s">
        <v>605</v>
      </c>
      <c r="B355" s="3" t="s">
        <v>592</v>
      </c>
      <c r="C355" s="3" t="s">
        <v>603</v>
      </c>
      <c r="D355" s="3" t="s">
        <v>621</v>
      </c>
      <c r="E355" s="11" t="s">
        <v>626</v>
      </c>
      <c r="F355" s="11"/>
      <c r="G355" s="6" t="s">
        <v>623</v>
      </c>
      <c r="H355" s="12">
        <v>0.03</v>
      </c>
      <c r="I355" s="2">
        <v>2028</v>
      </c>
    </row>
    <row r="356" spans="1:9" ht="16.5" hidden="1" customHeight="1" x14ac:dyDescent="0.25">
      <c r="A356" s="2" t="s">
        <v>605</v>
      </c>
      <c r="B356" s="3" t="s">
        <v>592</v>
      </c>
      <c r="C356" s="3" t="s">
        <v>603</v>
      </c>
      <c r="D356" s="3" t="s">
        <v>621</v>
      </c>
      <c r="E356" s="11" t="s">
        <v>626</v>
      </c>
      <c r="F356" s="11"/>
      <c r="G356" s="6" t="s">
        <v>623</v>
      </c>
      <c r="H356" s="12">
        <v>0</v>
      </c>
      <c r="I356" s="2">
        <v>2029</v>
      </c>
    </row>
    <row r="357" spans="1:9" ht="16.5" customHeight="1" x14ac:dyDescent="0.25">
      <c r="A357" s="2" t="s">
        <v>605</v>
      </c>
      <c r="B357" s="3" t="s">
        <v>592</v>
      </c>
      <c r="C357" s="3" t="s">
        <v>603</v>
      </c>
      <c r="D357" s="3" t="s">
        <v>621</v>
      </c>
      <c r="E357" s="11" t="s">
        <v>627</v>
      </c>
      <c r="F357" s="11"/>
      <c r="G357" s="6" t="s">
        <v>623</v>
      </c>
      <c r="H357" s="6" t="s">
        <v>628</v>
      </c>
      <c r="I357" s="2">
        <v>2025</v>
      </c>
    </row>
    <row r="358" spans="1:9" ht="16.5" hidden="1" customHeight="1" x14ac:dyDescent="0.25">
      <c r="A358" s="2" t="s">
        <v>605</v>
      </c>
      <c r="B358" s="3" t="s">
        <v>592</v>
      </c>
      <c r="C358" s="3" t="s">
        <v>603</v>
      </c>
      <c r="D358" s="3" t="s">
        <v>621</v>
      </c>
      <c r="E358" s="11" t="s">
        <v>627</v>
      </c>
      <c r="F358" s="11"/>
      <c r="G358" s="6" t="s">
        <v>623</v>
      </c>
      <c r="H358" s="6" t="s">
        <v>628</v>
      </c>
      <c r="I358" s="2">
        <v>2026</v>
      </c>
    </row>
    <row r="359" spans="1:9" ht="16.5" hidden="1" customHeight="1" x14ac:dyDescent="0.25">
      <c r="A359" s="2" t="s">
        <v>605</v>
      </c>
      <c r="B359" s="3" t="s">
        <v>592</v>
      </c>
      <c r="C359" s="3" t="s">
        <v>603</v>
      </c>
      <c r="D359" s="3" t="s">
        <v>621</v>
      </c>
      <c r="E359" s="11" t="s">
        <v>627</v>
      </c>
      <c r="F359" s="11"/>
      <c r="G359" s="6" t="s">
        <v>623</v>
      </c>
      <c r="H359" s="6" t="s">
        <v>628</v>
      </c>
      <c r="I359" s="2">
        <v>2027</v>
      </c>
    </row>
    <row r="360" spans="1:9" ht="16.5" hidden="1" customHeight="1" x14ac:dyDescent="0.25">
      <c r="A360" s="2" t="s">
        <v>605</v>
      </c>
      <c r="B360" s="3" t="s">
        <v>592</v>
      </c>
      <c r="C360" s="3" t="s">
        <v>603</v>
      </c>
      <c r="D360" s="3" t="s">
        <v>621</v>
      </c>
      <c r="E360" s="11" t="s">
        <v>627</v>
      </c>
      <c r="F360" s="11"/>
      <c r="G360" s="6" t="s">
        <v>623</v>
      </c>
      <c r="H360" s="6" t="s">
        <v>628</v>
      </c>
      <c r="I360" s="2">
        <v>2028</v>
      </c>
    </row>
    <row r="361" spans="1:9" ht="16.5" hidden="1" customHeight="1" x14ac:dyDescent="0.25">
      <c r="A361" s="2" t="s">
        <v>605</v>
      </c>
      <c r="B361" s="3" t="s">
        <v>592</v>
      </c>
      <c r="C361" s="3" t="s">
        <v>603</v>
      </c>
      <c r="D361" s="3" t="s">
        <v>621</v>
      </c>
      <c r="E361" s="11" t="s">
        <v>627</v>
      </c>
      <c r="F361" s="11"/>
      <c r="G361" s="6" t="s">
        <v>623</v>
      </c>
      <c r="H361" s="6" t="s">
        <v>629</v>
      </c>
      <c r="I361" s="2">
        <v>2029</v>
      </c>
    </row>
    <row r="362" spans="1:9" ht="16.5" customHeight="1" x14ac:dyDescent="0.25">
      <c r="A362" s="2" t="s">
        <v>605</v>
      </c>
      <c r="B362" s="3" t="s">
        <v>592</v>
      </c>
      <c r="C362" s="3" t="s">
        <v>603</v>
      </c>
      <c r="D362" s="3" t="s">
        <v>621</v>
      </c>
      <c r="E362" s="11" t="s">
        <v>630</v>
      </c>
      <c r="F362" s="11"/>
      <c r="G362" s="6" t="s">
        <v>623</v>
      </c>
      <c r="H362" s="6" t="s">
        <v>631</v>
      </c>
      <c r="I362" s="2">
        <v>2025</v>
      </c>
    </row>
    <row r="363" spans="1:9" ht="16.5" hidden="1" customHeight="1" x14ac:dyDescent="0.25">
      <c r="A363" s="2" t="s">
        <v>605</v>
      </c>
      <c r="B363" s="3" t="s">
        <v>592</v>
      </c>
      <c r="C363" s="3" t="s">
        <v>603</v>
      </c>
      <c r="D363" s="3" t="s">
        <v>621</v>
      </c>
      <c r="E363" s="11" t="s">
        <v>630</v>
      </c>
      <c r="F363" s="11"/>
      <c r="G363" s="6" t="s">
        <v>623</v>
      </c>
      <c r="H363" s="6" t="s">
        <v>631</v>
      </c>
      <c r="I363" s="2">
        <v>2026</v>
      </c>
    </row>
    <row r="364" spans="1:9" ht="16.5" hidden="1" customHeight="1" x14ac:dyDescent="0.25">
      <c r="A364" s="2" t="s">
        <v>605</v>
      </c>
      <c r="B364" s="3" t="s">
        <v>592</v>
      </c>
      <c r="C364" s="3" t="s">
        <v>603</v>
      </c>
      <c r="D364" s="3" t="s">
        <v>621</v>
      </c>
      <c r="E364" s="11" t="s">
        <v>630</v>
      </c>
      <c r="F364" s="11"/>
      <c r="G364" s="6" t="s">
        <v>623</v>
      </c>
      <c r="H364" s="6" t="s">
        <v>631</v>
      </c>
      <c r="I364" s="2">
        <v>2027</v>
      </c>
    </row>
    <row r="365" spans="1:9" ht="16.5" hidden="1" customHeight="1" x14ac:dyDescent="0.25">
      <c r="A365" s="2" t="s">
        <v>605</v>
      </c>
      <c r="B365" s="3" t="s">
        <v>592</v>
      </c>
      <c r="C365" s="3" t="s">
        <v>603</v>
      </c>
      <c r="D365" s="3" t="s">
        <v>621</v>
      </c>
      <c r="E365" s="11" t="s">
        <v>630</v>
      </c>
      <c r="F365" s="11"/>
      <c r="G365" s="6" t="s">
        <v>623</v>
      </c>
      <c r="H365" s="6" t="s">
        <v>631</v>
      </c>
      <c r="I365" s="2">
        <v>2028</v>
      </c>
    </row>
    <row r="366" spans="1:9" ht="16.5" hidden="1" customHeight="1" x14ac:dyDescent="0.25">
      <c r="A366" s="2" t="s">
        <v>605</v>
      </c>
      <c r="B366" s="3" t="s">
        <v>592</v>
      </c>
      <c r="C366" s="3" t="s">
        <v>603</v>
      </c>
      <c r="D366" s="3" t="s">
        <v>621</v>
      </c>
      <c r="E366" s="11" t="s">
        <v>630</v>
      </c>
      <c r="F366" s="11"/>
      <c r="G366" s="6" t="s">
        <v>623</v>
      </c>
      <c r="H366" s="6" t="s">
        <v>632</v>
      </c>
      <c r="I366" s="2">
        <v>2029</v>
      </c>
    </row>
    <row r="367" spans="1:9" ht="16.5" customHeight="1" x14ac:dyDescent="0.25">
      <c r="A367" s="2" t="s">
        <v>605</v>
      </c>
      <c r="B367" s="3" t="s">
        <v>592</v>
      </c>
      <c r="C367" s="3" t="s">
        <v>603</v>
      </c>
      <c r="D367" s="3" t="s">
        <v>621</v>
      </c>
      <c r="E367" s="11" t="s">
        <v>633</v>
      </c>
      <c r="F367" s="11"/>
      <c r="G367" s="6" t="s">
        <v>623</v>
      </c>
      <c r="H367" s="6" t="s">
        <v>634</v>
      </c>
      <c r="I367" s="2">
        <v>2025</v>
      </c>
    </row>
    <row r="368" spans="1:9" ht="16.5" hidden="1" customHeight="1" x14ac:dyDescent="0.25">
      <c r="A368" s="2" t="s">
        <v>605</v>
      </c>
      <c r="B368" s="3" t="s">
        <v>592</v>
      </c>
      <c r="C368" s="3" t="s">
        <v>603</v>
      </c>
      <c r="D368" s="3" t="s">
        <v>621</v>
      </c>
      <c r="E368" s="11" t="s">
        <v>633</v>
      </c>
      <c r="F368" s="11"/>
      <c r="G368" s="6" t="s">
        <v>623</v>
      </c>
      <c r="H368" s="6" t="s">
        <v>634</v>
      </c>
      <c r="I368" s="2">
        <v>2026</v>
      </c>
    </row>
    <row r="369" spans="1:9" ht="16.5" hidden="1" customHeight="1" x14ac:dyDescent="0.25">
      <c r="A369" s="2" t="s">
        <v>605</v>
      </c>
      <c r="B369" s="3" t="s">
        <v>592</v>
      </c>
      <c r="C369" s="3" t="s">
        <v>603</v>
      </c>
      <c r="D369" s="3" t="s">
        <v>621</v>
      </c>
      <c r="E369" s="11" t="s">
        <v>633</v>
      </c>
      <c r="F369" s="11"/>
      <c r="G369" s="6" t="s">
        <v>623</v>
      </c>
      <c r="H369" s="6" t="s">
        <v>634</v>
      </c>
      <c r="I369" s="2">
        <v>2027</v>
      </c>
    </row>
    <row r="370" spans="1:9" ht="16.5" hidden="1" customHeight="1" x14ac:dyDescent="0.25">
      <c r="A370" s="2" t="s">
        <v>605</v>
      </c>
      <c r="B370" s="3" t="s">
        <v>592</v>
      </c>
      <c r="C370" s="3" t="s">
        <v>603</v>
      </c>
      <c r="D370" s="3" t="s">
        <v>621</v>
      </c>
      <c r="E370" s="11" t="s">
        <v>633</v>
      </c>
      <c r="F370" s="11"/>
      <c r="G370" s="6" t="s">
        <v>623</v>
      </c>
      <c r="H370" s="6" t="s">
        <v>634</v>
      </c>
      <c r="I370" s="2">
        <v>2028</v>
      </c>
    </row>
    <row r="371" spans="1:9" ht="16.5" hidden="1" customHeight="1" x14ac:dyDescent="0.25">
      <c r="A371" s="2" t="s">
        <v>605</v>
      </c>
      <c r="B371" s="3" t="s">
        <v>592</v>
      </c>
      <c r="C371" s="3" t="s">
        <v>603</v>
      </c>
      <c r="D371" s="3" t="s">
        <v>621</v>
      </c>
      <c r="E371" s="11" t="s">
        <v>633</v>
      </c>
      <c r="F371" s="11"/>
      <c r="G371" s="6" t="s">
        <v>623</v>
      </c>
      <c r="H371" s="6" t="s">
        <v>635</v>
      </c>
      <c r="I371" s="2">
        <v>2029</v>
      </c>
    </row>
    <row r="372" spans="1:9" x14ac:dyDescent="0.25">
      <c r="A372" s="2" t="s">
        <v>605</v>
      </c>
      <c r="B372" s="3" t="s">
        <v>592</v>
      </c>
      <c r="C372" s="3" t="s">
        <v>603</v>
      </c>
      <c r="D372" s="3" t="s">
        <v>621</v>
      </c>
      <c r="E372" s="11" t="s">
        <v>636</v>
      </c>
      <c r="F372" s="11"/>
      <c r="G372" s="6" t="s">
        <v>623</v>
      </c>
      <c r="H372" s="12">
        <v>0.98</v>
      </c>
      <c r="I372" s="2">
        <v>2025</v>
      </c>
    </row>
    <row r="373" spans="1:9" hidden="1" x14ac:dyDescent="0.25">
      <c r="A373" s="2" t="s">
        <v>605</v>
      </c>
      <c r="B373" s="3" t="s">
        <v>592</v>
      </c>
      <c r="C373" s="3" t="s">
        <v>603</v>
      </c>
      <c r="D373" s="3" t="s">
        <v>621</v>
      </c>
      <c r="E373" s="11" t="s">
        <v>636</v>
      </c>
      <c r="F373" s="11"/>
      <c r="G373" s="6" t="s">
        <v>623</v>
      </c>
      <c r="H373" s="12">
        <v>0.98</v>
      </c>
      <c r="I373" s="2">
        <v>2026</v>
      </c>
    </row>
    <row r="374" spans="1:9" hidden="1" x14ac:dyDescent="0.25">
      <c r="A374" s="2" t="s">
        <v>605</v>
      </c>
      <c r="B374" s="3" t="s">
        <v>592</v>
      </c>
      <c r="C374" s="3" t="s">
        <v>603</v>
      </c>
      <c r="D374" s="3" t="s">
        <v>621</v>
      </c>
      <c r="E374" s="11" t="s">
        <v>636</v>
      </c>
      <c r="F374" s="11"/>
      <c r="G374" s="6" t="s">
        <v>623</v>
      </c>
      <c r="H374" s="12">
        <v>0.98</v>
      </c>
      <c r="I374" s="2">
        <v>2027</v>
      </c>
    </row>
    <row r="375" spans="1:9" hidden="1" x14ac:dyDescent="0.25">
      <c r="A375" s="2" t="s">
        <v>605</v>
      </c>
      <c r="B375" s="3" t="s">
        <v>592</v>
      </c>
      <c r="C375" s="3" t="s">
        <v>603</v>
      </c>
      <c r="D375" s="3" t="s">
        <v>621</v>
      </c>
      <c r="E375" s="11" t="s">
        <v>636</v>
      </c>
      <c r="F375" s="11"/>
      <c r="G375" s="6" t="s">
        <v>623</v>
      </c>
      <c r="H375" s="12">
        <v>0.98</v>
      </c>
      <c r="I375" s="2">
        <v>2028</v>
      </c>
    </row>
    <row r="376" spans="1:9" hidden="1" x14ac:dyDescent="0.25">
      <c r="A376" s="2" t="s">
        <v>605</v>
      </c>
      <c r="B376" s="3" t="s">
        <v>592</v>
      </c>
      <c r="C376" s="3" t="s">
        <v>603</v>
      </c>
      <c r="D376" s="3" t="s">
        <v>621</v>
      </c>
      <c r="E376" s="11" t="s">
        <v>636</v>
      </c>
      <c r="F376" s="11"/>
      <c r="G376" s="6" t="s">
        <v>623</v>
      </c>
      <c r="H376" s="12">
        <v>0.2</v>
      </c>
      <c r="I376" s="2">
        <v>2029</v>
      </c>
    </row>
    <row r="377" spans="1:9" x14ac:dyDescent="0.25">
      <c r="A377" s="2" t="s">
        <v>605</v>
      </c>
      <c r="B377" s="3" t="s">
        <v>592</v>
      </c>
      <c r="C377" s="3" t="s">
        <v>603</v>
      </c>
      <c r="D377" s="3" t="s">
        <v>274</v>
      </c>
      <c r="E377" s="3" t="s">
        <v>637</v>
      </c>
      <c r="G377" s="6" t="s">
        <v>623</v>
      </c>
      <c r="H377" s="9">
        <v>0.01</v>
      </c>
      <c r="I377" s="2">
        <v>2025</v>
      </c>
    </row>
    <row r="378" spans="1:9" hidden="1" x14ac:dyDescent="0.25">
      <c r="A378" s="2" t="s">
        <v>605</v>
      </c>
      <c r="B378" s="3" t="s">
        <v>592</v>
      </c>
      <c r="C378" s="3" t="s">
        <v>603</v>
      </c>
      <c r="D378" s="3" t="s">
        <v>274</v>
      </c>
      <c r="E378" s="3" t="s">
        <v>637</v>
      </c>
      <c r="G378" s="6" t="s">
        <v>623</v>
      </c>
      <c r="H378" s="9">
        <v>0</v>
      </c>
      <c r="I378" s="2">
        <v>2026</v>
      </c>
    </row>
    <row r="379" spans="1:9" hidden="1" x14ac:dyDescent="0.25">
      <c r="A379" s="2" t="s">
        <v>605</v>
      </c>
      <c r="B379" s="3" t="s">
        <v>592</v>
      </c>
      <c r="C379" s="3" t="s">
        <v>603</v>
      </c>
      <c r="D379" s="3" t="s">
        <v>274</v>
      </c>
      <c r="E379" s="3" t="s">
        <v>637</v>
      </c>
      <c r="G379" s="6" t="s">
        <v>623</v>
      </c>
      <c r="H379" s="9">
        <v>0</v>
      </c>
      <c r="I379" s="2">
        <v>2027</v>
      </c>
    </row>
    <row r="380" spans="1:9" hidden="1" x14ac:dyDescent="0.25">
      <c r="A380" s="2" t="s">
        <v>605</v>
      </c>
      <c r="B380" s="3" t="s">
        <v>592</v>
      </c>
      <c r="C380" s="3" t="s">
        <v>603</v>
      </c>
      <c r="D380" s="3" t="s">
        <v>274</v>
      </c>
      <c r="E380" s="3" t="s">
        <v>637</v>
      </c>
      <c r="G380" s="6" t="s">
        <v>623</v>
      </c>
      <c r="H380" s="9">
        <v>0</v>
      </c>
      <c r="I380" s="2">
        <v>2028</v>
      </c>
    </row>
    <row r="381" spans="1:9" ht="15.75" hidden="1" customHeight="1" x14ac:dyDescent="0.25">
      <c r="A381" s="2" t="s">
        <v>605</v>
      </c>
      <c r="B381" s="3" t="s">
        <v>592</v>
      </c>
      <c r="C381" s="3" t="s">
        <v>603</v>
      </c>
      <c r="D381" s="3" t="s">
        <v>274</v>
      </c>
      <c r="E381" s="3" t="s">
        <v>637</v>
      </c>
      <c r="G381" s="6" t="s">
        <v>623</v>
      </c>
      <c r="H381" s="9">
        <v>0</v>
      </c>
      <c r="I381" s="2">
        <v>2029</v>
      </c>
    </row>
    <row r="382" spans="1:9" ht="15.75" customHeight="1" x14ac:dyDescent="0.25">
      <c r="A382" s="2" t="s">
        <v>605</v>
      </c>
      <c r="B382" s="3" t="s">
        <v>592</v>
      </c>
      <c r="C382" s="3" t="s">
        <v>603</v>
      </c>
      <c r="D382" s="3" t="s">
        <v>274</v>
      </c>
      <c r="E382" s="3" t="s">
        <v>455</v>
      </c>
      <c r="G382" s="6" t="s">
        <v>623</v>
      </c>
      <c r="H382" s="9">
        <v>0.7</v>
      </c>
      <c r="I382" s="2">
        <v>2025</v>
      </c>
    </row>
    <row r="383" spans="1:9" ht="15.75" hidden="1" customHeight="1" x14ac:dyDescent="0.25">
      <c r="A383" s="2" t="s">
        <v>605</v>
      </c>
      <c r="B383" s="3" t="s">
        <v>592</v>
      </c>
      <c r="C383" s="3" t="s">
        <v>603</v>
      </c>
      <c r="D383" s="3" t="s">
        <v>274</v>
      </c>
      <c r="E383" s="3" t="s">
        <v>455</v>
      </c>
      <c r="G383" s="6" t="s">
        <v>623</v>
      </c>
      <c r="H383" s="9">
        <v>0.8</v>
      </c>
      <c r="I383" s="2">
        <v>2026</v>
      </c>
    </row>
    <row r="384" spans="1:9" ht="15.75" hidden="1" customHeight="1" x14ac:dyDescent="0.25">
      <c r="A384" s="2" t="s">
        <v>605</v>
      </c>
      <c r="B384" s="3" t="s">
        <v>592</v>
      </c>
      <c r="C384" s="3" t="s">
        <v>603</v>
      </c>
      <c r="D384" s="3" t="s">
        <v>274</v>
      </c>
      <c r="E384" s="3" t="s">
        <v>455</v>
      </c>
      <c r="G384" s="6" t="s">
        <v>623</v>
      </c>
      <c r="H384" s="9">
        <v>0.9</v>
      </c>
      <c r="I384" s="2">
        <v>2027</v>
      </c>
    </row>
    <row r="385" spans="1:9" ht="15.75" hidden="1" customHeight="1" x14ac:dyDescent="0.25">
      <c r="A385" s="2" t="s">
        <v>605</v>
      </c>
      <c r="B385" s="3" t="s">
        <v>592</v>
      </c>
      <c r="C385" s="3" t="s">
        <v>603</v>
      </c>
      <c r="D385" s="3" t="s">
        <v>274</v>
      </c>
      <c r="E385" s="3" t="s">
        <v>455</v>
      </c>
      <c r="G385" s="6" t="s">
        <v>623</v>
      </c>
      <c r="H385" s="9">
        <v>0.9</v>
      </c>
      <c r="I385" s="2">
        <v>2028</v>
      </c>
    </row>
    <row r="386" spans="1:9" ht="15.75" hidden="1" customHeight="1" x14ac:dyDescent="0.25">
      <c r="A386" s="2" t="s">
        <v>605</v>
      </c>
      <c r="B386" s="3" t="s">
        <v>592</v>
      </c>
      <c r="C386" s="3" t="s">
        <v>603</v>
      </c>
      <c r="D386" s="3" t="s">
        <v>274</v>
      </c>
      <c r="E386" s="3" t="s">
        <v>455</v>
      </c>
      <c r="G386" s="6" t="s">
        <v>623</v>
      </c>
      <c r="H386" s="9">
        <v>0.2</v>
      </c>
      <c r="I386" s="2">
        <v>2029</v>
      </c>
    </row>
    <row r="387" spans="1:9" ht="15.75" customHeight="1" x14ac:dyDescent="0.25">
      <c r="A387" s="2" t="s">
        <v>605</v>
      </c>
      <c r="B387" s="3" t="s">
        <v>592</v>
      </c>
      <c r="C387" s="3" t="s">
        <v>603</v>
      </c>
      <c r="D387" s="3" t="s">
        <v>274</v>
      </c>
      <c r="E387" s="3" t="s">
        <v>638</v>
      </c>
      <c r="G387" s="2" t="s">
        <v>639</v>
      </c>
      <c r="H387" s="2">
        <v>1</v>
      </c>
      <c r="I387" s="2">
        <v>2025</v>
      </c>
    </row>
    <row r="388" spans="1:9" ht="15.75" hidden="1" customHeight="1" x14ac:dyDescent="0.25">
      <c r="A388" s="2" t="s">
        <v>605</v>
      </c>
      <c r="B388" s="3" t="s">
        <v>592</v>
      </c>
      <c r="C388" s="3" t="s">
        <v>603</v>
      </c>
      <c r="D388" s="3" t="s">
        <v>274</v>
      </c>
      <c r="E388" s="3" t="s">
        <v>638</v>
      </c>
      <c r="G388" s="2" t="s">
        <v>639</v>
      </c>
      <c r="H388" s="2">
        <v>6</v>
      </c>
      <c r="I388" s="2">
        <v>2026</v>
      </c>
    </row>
    <row r="389" spans="1:9" ht="15.75" hidden="1" customHeight="1" x14ac:dyDescent="0.25">
      <c r="A389" s="2" t="s">
        <v>605</v>
      </c>
      <c r="B389" s="3" t="s">
        <v>592</v>
      </c>
      <c r="C389" s="3" t="s">
        <v>603</v>
      </c>
      <c r="D389" s="3" t="s">
        <v>274</v>
      </c>
      <c r="E389" s="3" t="s">
        <v>638</v>
      </c>
      <c r="G389" s="2" t="s">
        <v>639</v>
      </c>
      <c r="H389" s="2">
        <v>6</v>
      </c>
      <c r="I389" s="2">
        <v>2027</v>
      </c>
    </row>
    <row r="390" spans="1:9" ht="15.75" hidden="1" customHeight="1" x14ac:dyDescent="0.25">
      <c r="A390" s="2" t="s">
        <v>605</v>
      </c>
      <c r="B390" s="3" t="s">
        <v>592</v>
      </c>
      <c r="C390" s="3" t="s">
        <v>603</v>
      </c>
      <c r="D390" s="3" t="s">
        <v>274</v>
      </c>
      <c r="E390" s="3" t="s">
        <v>638</v>
      </c>
      <c r="G390" s="2" t="s">
        <v>639</v>
      </c>
      <c r="H390" s="2">
        <v>6</v>
      </c>
      <c r="I390" s="2">
        <v>2028</v>
      </c>
    </row>
    <row r="391" spans="1:9" ht="15.75" hidden="1" customHeight="1" x14ac:dyDescent="0.25">
      <c r="A391" s="2" t="s">
        <v>605</v>
      </c>
      <c r="B391" s="3" t="s">
        <v>592</v>
      </c>
      <c r="C391" s="3" t="s">
        <v>603</v>
      </c>
      <c r="D391" s="3" t="s">
        <v>274</v>
      </c>
      <c r="E391" s="3" t="s">
        <v>638</v>
      </c>
      <c r="G391" s="2" t="s">
        <v>639</v>
      </c>
      <c r="H391" s="2">
        <v>0</v>
      </c>
      <c r="I391" s="2">
        <v>2029</v>
      </c>
    </row>
    <row r="392" spans="1:9" x14ac:dyDescent="0.25">
      <c r="A392" s="2" t="s">
        <v>605</v>
      </c>
      <c r="B392" s="3" t="s">
        <v>592</v>
      </c>
      <c r="C392" s="3" t="s">
        <v>603</v>
      </c>
      <c r="D392" s="3" t="s">
        <v>640</v>
      </c>
      <c r="E392" s="10"/>
      <c r="G392" s="5"/>
      <c r="H392" s="5"/>
      <c r="I392" s="2">
        <v>2025</v>
      </c>
    </row>
    <row r="393" spans="1:9" hidden="1" x14ac:dyDescent="0.25">
      <c r="A393" s="2" t="s">
        <v>605</v>
      </c>
      <c r="B393" s="3" t="s">
        <v>592</v>
      </c>
      <c r="C393" s="3" t="s">
        <v>603</v>
      </c>
      <c r="D393" s="3" t="s">
        <v>640</v>
      </c>
      <c r="E393" s="10"/>
      <c r="G393" s="5"/>
      <c r="H393" s="5"/>
      <c r="I393" s="2">
        <v>2026</v>
      </c>
    </row>
    <row r="394" spans="1:9" hidden="1" x14ac:dyDescent="0.25">
      <c r="A394" s="2" t="s">
        <v>605</v>
      </c>
      <c r="B394" s="3" t="s">
        <v>592</v>
      </c>
      <c r="C394" s="3" t="s">
        <v>603</v>
      </c>
      <c r="D394" s="3" t="s">
        <v>640</v>
      </c>
      <c r="E394" s="10"/>
      <c r="G394" s="5"/>
      <c r="H394" s="5"/>
      <c r="I394" s="2">
        <v>2027</v>
      </c>
    </row>
    <row r="395" spans="1:9" hidden="1" x14ac:dyDescent="0.25">
      <c r="A395" s="2" t="s">
        <v>605</v>
      </c>
      <c r="B395" s="3" t="s">
        <v>592</v>
      </c>
      <c r="C395" s="3" t="s">
        <v>603</v>
      </c>
      <c r="D395" s="3" t="s">
        <v>640</v>
      </c>
      <c r="E395" s="10"/>
      <c r="G395" s="5"/>
      <c r="H395" s="5"/>
      <c r="I395" s="2">
        <v>2028</v>
      </c>
    </row>
    <row r="396" spans="1:9" hidden="1" x14ac:dyDescent="0.25">
      <c r="A396" s="2" t="s">
        <v>605</v>
      </c>
      <c r="B396" s="3" t="s">
        <v>592</v>
      </c>
      <c r="C396" s="3" t="s">
        <v>603</v>
      </c>
      <c r="D396" s="3" t="s">
        <v>640</v>
      </c>
      <c r="E396" s="10"/>
      <c r="G396" s="5"/>
      <c r="H396" s="5"/>
      <c r="I396" s="2">
        <v>2029</v>
      </c>
    </row>
    <row r="397" spans="1:9" x14ac:dyDescent="0.25">
      <c r="A397" s="2" t="s">
        <v>605</v>
      </c>
      <c r="B397" s="3" t="s">
        <v>592</v>
      </c>
      <c r="C397" s="3" t="s">
        <v>604</v>
      </c>
      <c r="D397" s="3" t="s">
        <v>641</v>
      </c>
      <c r="E397" s="3" t="s">
        <v>463</v>
      </c>
      <c r="G397" s="2" t="s">
        <v>623</v>
      </c>
      <c r="H397" s="9">
        <v>0.25</v>
      </c>
      <c r="I397" s="2">
        <v>2025</v>
      </c>
    </row>
    <row r="398" spans="1:9" hidden="1" x14ac:dyDescent="0.25">
      <c r="A398" s="2" t="s">
        <v>605</v>
      </c>
      <c r="B398" s="3" t="s">
        <v>592</v>
      </c>
      <c r="C398" s="3" t="s">
        <v>604</v>
      </c>
      <c r="D398" s="3" t="s">
        <v>641</v>
      </c>
      <c r="E398" s="3" t="s">
        <v>463</v>
      </c>
      <c r="G398" s="2" t="s">
        <v>623</v>
      </c>
      <c r="H398" s="9">
        <v>0.25</v>
      </c>
      <c r="I398" s="2">
        <v>2026</v>
      </c>
    </row>
    <row r="399" spans="1:9" hidden="1" x14ac:dyDescent="0.25">
      <c r="A399" s="2" t="s">
        <v>605</v>
      </c>
      <c r="B399" s="3" t="s">
        <v>592</v>
      </c>
      <c r="C399" s="3" t="s">
        <v>604</v>
      </c>
      <c r="D399" s="3" t="s">
        <v>641</v>
      </c>
      <c r="E399" s="3" t="s">
        <v>463</v>
      </c>
      <c r="G399" s="2" t="s">
        <v>623</v>
      </c>
      <c r="H399" s="9">
        <v>0.25</v>
      </c>
      <c r="I399" s="2">
        <v>2027</v>
      </c>
    </row>
    <row r="400" spans="1:9" hidden="1" x14ac:dyDescent="0.25">
      <c r="A400" s="2" t="s">
        <v>605</v>
      </c>
      <c r="B400" s="3" t="s">
        <v>592</v>
      </c>
      <c r="C400" s="3" t="s">
        <v>604</v>
      </c>
      <c r="D400" s="3" t="s">
        <v>641</v>
      </c>
      <c r="E400" s="3" t="s">
        <v>463</v>
      </c>
      <c r="G400" s="2" t="s">
        <v>623</v>
      </c>
      <c r="H400" s="9">
        <v>0.25</v>
      </c>
      <c r="I400" s="2">
        <v>2028</v>
      </c>
    </row>
    <row r="401" spans="1:9" hidden="1" x14ac:dyDescent="0.25">
      <c r="A401" s="2" t="s">
        <v>605</v>
      </c>
      <c r="B401" s="3" t="s">
        <v>592</v>
      </c>
      <c r="C401" s="3" t="s">
        <v>604</v>
      </c>
      <c r="D401" s="3" t="s">
        <v>641</v>
      </c>
      <c r="E401" s="3" t="s">
        <v>463</v>
      </c>
      <c r="G401" s="2" t="s">
        <v>623</v>
      </c>
      <c r="H401" s="9">
        <v>0</v>
      </c>
      <c r="I401" s="2">
        <v>2029</v>
      </c>
    </row>
    <row r="402" spans="1:9" x14ac:dyDescent="0.25">
      <c r="A402" s="2" t="s">
        <v>605</v>
      </c>
      <c r="B402" s="3" t="s">
        <v>592</v>
      </c>
      <c r="C402" s="3" t="s">
        <v>604</v>
      </c>
      <c r="D402" s="3" t="s">
        <v>641</v>
      </c>
      <c r="E402" s="3" t="s">
        <v>464</v>
      </c>
      <c r="G402" s="2" t="s">
        <v>623</v>
      </c>
      <c r="H402" s="9">
        <v>0.8</v>
      </c>
      <c r="I402" s="2">
        <v>2025</v>
      </c>
    </row>
    <row r="403" spans="1:9" hidden="1" x14ac:dyDescent="0.25">
      <c r="A403" s="2" t="s">
        <v>605</v>
      </c>
      <c r="B403" s="3" t="s">
        <v>592</v>
      </c>
      <c r="C403" s="3" t="s">
        <v>604</v>
      </c>
      <c r="D403" s="3" t="s">
        <v>641</v>
      </c>
      <c r="E403" s="3" t="s">
        <v>464</v>
      </c>
      <c r="G403" s="2" t="s">
        <v>623</v>
      </c>
      <c r="H403" s="9">
        <v>0.8</v>
      </c>
      <c r="I403" s="2">
        <v>2026</v>
      </c>
    </row>
    <row r="404" spans="1:9" hidden="1" x14ac:dyDescent="0.25">
      <c r="A404" s="2" t="s">
        <v>605</v>
      </c>
      <c r="B404" s="3" t="s">
        <v>592</v>
      </c>
      <c r="C404" s="3" t="s">
        <v>604</v>
      </c>
      <c r="D404" s="3" t="s">
        <v>641</v>
      </c>
      <c r="E404" s="3" t="s">
        <v>464</v>
      </c>
      <c r="G404" s="2" t="s">
        <v>623</v>
      </c>
      <c r="H404" s="9">
        <v>0.8</v>
      </c>
      <c r="I404" s="2">
        <v>2027</v>
      </c>
    </row>
    <row r="405" spans="1:9" hidden="1" x14ac:dyDescent="0.25">
      <c r="A405" s="2" t="s">
        <v>605</v>
      </c>
      <c r="B405" s="3" t="s">
        <v>592</v>
      </c>
      <c r="C405" s="3" t="s">
        <v>604</v>
      </c>
      <c r="D405" s="3" t="s">
        <v>641</v>
      </c>
      <c r="E405" s="3" t="s">
        <v>464</v>
      </c>
      <c r="G405" s="2" t="s">
        <v>623</v>
      </c>
      <c r="H405" s="9">
        <v>0.8</v>
      </c>
      <c r="I405" s="2">
        <v>2028</v>
      </c>
    </row>
    <row r="406" spans="1:9" hidden="1" x14ac:dyDescent="0.25">
      <c r="A406" s="2" t="s">
        <v>605</v>
      </c>
      <c r="B406" s="3" t="s">
        <v>592</v>
      </c>
      <c r="C406" s="3" t="s">
        <v>604</v>
      </c>
      <c r="D406" s="3" t="s">
        <v>641</v>
      </c>
      <c r="E406" s="3" t="s">
        <v>464</v>
      </c>
      <c r="G406" s="2" t="s">
        <v>623</v>
      </c>
      <c r="H406" s="9">
        <v>0.2</v>
      </c>
      <c r="I406" s="2">
        <v>2029</v>
      </c>
    </row>
    <row r="407" spans="1:9" x14ac:dyDescent="0.25">
      <c r="A407" s="2" t="s">
        <v>605</v>
      </c>
      <c r="B407" s="3" t="s">
        <v>592</v>
      </c>
      <c r="C407" s="3" t="s">
        <v>604</v>
      </c>
      <c r="D407" s="3" t="s">
        <v>641</v>
      </c>
      <c r="E407" s="3" t="s">
        <v>465</v>
      </c>
      <c r="G407" s="2" t="s">
        <v>623</v>
      </c>
      <c r="H407" s="2">
        <v>4</v>
      </c>
      <c r="I407" s="2">
        <v>2025</v>
      </c>
    </row>
    <row r="408" spans="1:9" hidden="1" x14ac:dyDescent="0.25">
      <c r="A408" s="2" t="s">
        <v>605</v>
      </c>
      <c r="B408" s="3" t="s">
        <v>592</v>
      </c>
      <c r="C408" s="3" t="s">
        <v>604</v>
      </c>
      <c r="D408" s="3" t="s">
        <v>641</v>
      </c>
      <c r="E408" s="3" t="s">
        <v>465</v>
      </c>
      <c r="G408" s="2" t="s">
        <v>623</v>
      </c>
      <c r="H408" s="2">
        <v>1</v>
      </c>
      <c r="I408" s="2">
        <v>2026</v>
      </c>
    </row>
    <row r="409" spans="1:9" hidden="1" x14ac:dyDescent="0.25">
      <c r="A409" s="2" t="s">
        <v>605</v>
      </c>
      <c r="B409" s="3" t="s">
        <v>592</v>
      </c>
      <c r="C409" s="3" t="s">
        <v>604</v>
      </c>
      <c r="D409" s="3" t="s">
        <v>641</v>
      </c>
      <c r="E409" s="3" t="s">
        <v>465</v>
      </c>
      <c r="G409" s="2" t="s">
        <v>623</v>
      </c>
      <c r="H409" s="2">
        <v>0</v>
      </c>
      <c r="I409" s="2">
        <v>2027</v>
      </c>
    </row>
    <row r="410" spans="1:9" hidden="1" x14ac:dyDescent="0.25">
      <c r="A410" s="2" t="s">
        <v>605</v>
      </c>
      <c r="B410" s="3" t="s">
        <v>592</v>
      </c>
      <c r="C410" s="3" t="s">
        <v>604</v>
      </c>
      <c r="D410" s="3" t="s">
        <v>641</v>
      </c>
      <c r="E410" s="3" t="s">
        <v>465</v>
      </c>
      <c r="G410" s="2" t="s">
        <v>623</v>
      </c>
      <c r="H410" s="2">
        <v>0</v>
      </c>
      <c r="I410" s="2">
        <v>2028</v>
      </c>
    </row>
    <row r="411" spans="1:9" hidden="1" x14ac:dyDescent="0.25">
      <c r="A411" s="2" t="s">
        <v>605</v>
      </c>
      <c r="B411" s="3" t="s">
        <v>592</v>
      </c>
      <c r="C411" s="3" t="s">
        <v>604</v>
      </c>
      <c r="D411" s="3" t="s">
        <v>641</v>
      </c>
      <c r="E411" s="3" t="s">
        <v>465</v>
      </c>
      <c r="G411" s="2" t="s">
        <v>623</v>
      </c>
      <c r="H411" s="2">
        <v>1</v>
      </c>
      <c r="I411" s="2">
        <v>2029</v>
      </c>
    </row>
    <row r="412" spans="1:9" x14ac:dyDescent="0.25">
      <c r="A412" s="2" t="s">
        <v>605</v>
      </c>
      <c r="B412" s="3" t="s">
        <v>592</v>
      </c>
      <c r="C412" s="3" t="s">
        <v>604</v>
      </c>
      <c r="D412" s="3" t="s">
        <v>641</v>
      </c>
      <c r="E412" s="3" t="s">
        <v>466</v>
      </c>
      <c r="G412" s="2" t="s">
        <v>623</v>
      </c>
      <c r="H412" s="2">
        <v>0</v>
      </c>
      <c r="I412" s="2">
        <v>2025</v>
      </c>
    </row>
    <row r="413" spans="1:9" hidden="1" x14ac:dyDescent="0.25">
      <c r="A413" s="2" t="s">
        <v>605</v>
      </c>
      <c r="B413" s="3" t="s">
        <v>592</v>
      </c>
      <c r="C413" s="3" t="s">
        <v>604</v>
      </c>
      <c r="D413" s="3" t="s">
        <v>641</v>
      </c>
      <c r="E413" s="3" t="s">
        <v>466</v>
      </c>
      <c r="G413" s="2" t="s">
        <v>623</v>
      </c>
      <c r="H413" s="2">
        <v>6000</v>
      </c>
      <c r="I413" s="2">
        <v>2026</v>
      </c>
    </row>
    <row r="414" spans="1:9" hidden="1" x14ac:dyDescent="0.25">
      <c r="A414" s="2" t="s">
        <v>605</v>
      </c>
      <c r="B414" s="3" t="s">
        <v>592</v>
      </c>
      <c r="C414" s="3" t="s">
        <v>604</v>
      </c>
      <c r="D414" s="3" t="s">
        <v>641</v>
      </c>
      <c r="E414" s="3" t="s">
        <v>466</v>
      </c>
      <c r="G414" s="2" t="s">
        <v>623</v>
      </c>
      <c r="H414" s="2">
        <v>4800</v>
      </c>
      <c r="I414" s="2">
        <v>2027</v>
      </c>
    </row>
    <row r="415" spans="1:9" hidden="1" x14ac:dyDescent="0.25">
      <c r="A415" s="2" t="s">
        <v>605</v>
      </c>
      <c r="B415" s="3" t="s">
        <v>592</v>
      </c>
      <c r="C415" s="3" t="s">
        <v>604</v>
      </c>
      <c r="D415" s="3" t="s">
        <v>641</v>
      </c>
      <c r="E415" s="3" t="s">
        <v>466</v>
      </c>
      <c r="G415" s="2" t="s">
        <v>623</v>
      </c>
      <c r="H415" s="2">
        <v>5000</v>
      </c>
      <c r="I415" s="2">
        <v>2028</v>
      </c>
    </row>
    <row r="416" spans="1:9" hidden="1" x14ac:dyDescent="0.25">
      <c r="A416" s="2" t="s">
        <v>605</v>
      </c>
      <c r="B416" s="3" t="s">
        <v>592</v>
      </c>
      <c r="C416" s="3" t="s">
        <v>604</v>
      </c>
      <c r="D416" s="3" t="s">
        <v>641</v>
      </c>
      <c r="E416" s="3" t="s">
        <v>466</v>
      </c>
      <c r="G416" s="2" t="s">
        <v>623</v>
      </c>
      <c r="H416" s="2">
        <v>5000</v>
      </c>
      <c r="I416" s="2">
        <v>2029</v>
      </c>
    </row>
    <row r="417" spans="1:9" x14ac:dyDescent="0.25">
      <c r="A417" s="2" t="s">
        <v>605</v>
      </c>
      <c r="B417" s="3" t="s">
        <v>592</v>
      </c>
      <c r="C417" s="3" t="s">
        <v>604</v>
      </c>
      <c r="D417" s="3" t="s">
        <v>641</v>
      </c>
      <c r="E417" s="3" t="s">
        <v>467</v>
      </c>
      <c r="G417" s="2" t="s">
        <v>623</v>
      </c>
      <c r="H417" s="2">
        <v>726</v>
      </c>
      <c r="I417" s="2">
        <v>2025</v>
      </c>
    </row>
    <row r="418" spans="1:9" hidden="1" x14ac:dyDescent="0.25">
      <c r="A418" s="2" t="s">
        <v>605</v>
      </c>
      <c r="B418" s="3" t="s">
        <v>592</v>
      </c>
      <c r="C418" s="3" t="s">
        <v>604</v>
      </c>
      <c r="D418" s="3" t="s">
        <v>641</v>
      </c>
      <c r="E418" s="3" t="s">
        <v>467</v>
      </c>
      <c r="G418" s="2" t="s">
        <v>623</v>
      </c>
      <c r="H418" s="2">
        <v>1110</v>
      </c>
      <c r="I418" s="2">
        <v>2026</v>
      </c>
    </row>
    <row r="419" spans="1:9" hidden="1" x14ac:dyDescent="0.25">
      <c r="A419" s="2" t="s">
        <v>605</v>
      </c>
      <c r="B419" s="3" t="s">
        <v>592</v>
      </c>
      <c r="C419" s="3" t="s">
        <v>604</v>
      </c>
      <c r="D419" s="3" t="s">
        <v>641</v>
      </c>
      <c r="E419" s="3" t="s">
        <v>467</v>
      </c>
      <c r="G419" s="2" t="s">
        <v>623</v>
      </c>
      <c r="H419" s="2">
        <v>11200</v>
      </c>
      <c r="I419" s="2">
        <v>2027</v>
      </c>
    </row>
    <row r="420" spans="1:9" hidden="1" x14ac:dyDescent="0.25">
      <c r="A420" s="2" t="s">
        <v>605</v>
      </c>
      <c r="B420" s="3" t="s">
        <v>592</v>
      </c>
      <c r="C420" s="3" t="s">
        <v>604</v>
      </c>
      <c r="D420" s="3" t="s">
        <v>641</v>
      </c>
      <c r="E420" s="3" t="s">
        <v>467</v>
      </c>
      <c r="G420" s="2" t="s">
        <v>623</v>
      </c>
      <c r="H420" s="2">
        <v>0</v>
      </c>
      <c r="I420" s="2">
        <v>2028</v>
      </c>
    </row>
    <row r="421" spans="1:9" hidden="1" x14ac:dyDescent="0.25">
      <c r="A421" s="2" t="s">
        <v>605</v>
      </c>
      <c r="B421" s="3" t="s">
        <v>592</v>
      </c>
      <c r="C421" s="3" t="s">
        <v>604</v>
      </c>
      <c r="D421" s="3" t="s">
        <v>641</v>
      </c>
      <c r="E421" s="3" t="s">
        <v>467</v>
      </c>
      <c r="G421" s="2" t="s">
        <v>623</v>
      </c>
      <c r="H421" s="2">
        <v>10000</v>
      </c>
      <c r="I421" s="2">
        <v>2029</v>
      </c>
    </row>
    <row r="422" spans="1:9" x14ac:dyDescent="0.25">
      <c r="A422" s="2" t="s">
        <v>605</v>
      </c>
      <c r="B422" s="3" t="s">
        <v>592</v>
      </c>
      <c r="C422" s="3" t="s">
        <v>604</v>
      </c>
      <c r="D422" s="3" t="s">
        <v>641</v>
      </c>
      <c r="E422" s="3" t="s">
        <v>468</v>
      </c>
      <c r="G422" s="2" t="s">
        <v>623</v>
      </c>
      <c r="H422" s="9">
        <v>0.8</v>
      </c>
      <c r="I422" s="2">
        <v>2025</v>
      </c>
    </row>
    <row r="423" spans="1:9" hidden="1" x14ac:dyDescent="0.25">
      <c r="A423" s="2" t="s">
        <v>605</v>
      </c>
      <c r="B423" s="3" t="s">
        <v>592</v>
      </c>
      <c r="C423" s="3" t="s">
        <v>604</v>
      </c>
      <c r="D423" s="3" t="s">
        <v>641</v>
      </c>
      <c r="E423" s="3" t="s">
        <v>468</v>
      </c>
      <c r="G423" s="2" t="s">
        <v>623</v>
      </c>
      <c r="H423" s="9">
        <v>0.8</v>
      </c>
      <c r="I423" s="2">
        <v>2026</v>
      </c>
    </row>
    <row r="424" spans="1:9" hidden="1" x14ac:dyDescent="0.25">
      <c r="A424" s="2" t="s">
        <v>605</v>
      </c>
      <c r="B424" s="3" t="s">
        <v>592</v>
      </c>
      <c r="C424" s="3" t="s">
        <v>604</v>
      </c>
      <c r="D424" s="3" t="s">
        <v>641</v>
      </c>
      <c r="E424" s="3" t="s">
        <v>468</v>
      </c>
      <c r="G424" s="2" t="s">
        <v>623</v>
      </c>
      <c r="H424" s="9">
        <v>0.8</v>
      </c>
      <c r="I424" s="2">
        <v>2027</v>
      </c>
    </row>
    <row r="425" spans="1:9" hidden="1" x14ac:dyDescent="0.25">
      <c r="A425" s="2" t="s">
        <v>605</v>
      </c>
      <c r="B425" s="3" t="s">
        <v>592</v>
      </c>
      <c r="C425" s="3" t="s">
        <v>604</v>
      </c>
      <c r="D425" s="3" t="s">
        <v>641</v>
      </c>
      <c r="E425" s="3" t="s">
        <v>468</v>
      </c>
      <c r="G425" s="2" t="s">
        <v>623</v>
      </c>
      <c r="H425" s="9">
        <v>0.8</v>
      </c>
      <c r="I425" s="2">
        <v>2028</v>
      </c>
    </row>
    <row r="426" spans="1:9" hidden="1" x14ac:dyDescent="0.25">
      <c r="A426" s="2" t="s">
        <v>605</v>
      </c>
      <c r="B426" s="3" t="s">
        <v>592</v>
      </c>
      <c r="C426" s="3" t="s">
        <v>604</v>
      </c>
      <c r="D426" s="3" t="s">
        <v>641</v>
      </c>
      <c r="E426" s="3" t="s">
        <v>468</v>
      </c>
      <c r="G426" s="2" t="s">
        <v>623</v>
      </c>
      <c r="H426" s="9">
        <v>0.2</v>
      </c>
      <c r="I426" s="2">
        <v>2029</v>
      </c>
    </row>
    <row r="427" spans="1:9" x14ac:dyDescent="0.25">
      <c r="A427" s="2" t="s">
        <v>605</v>
      </c>
      <c r="B427" s="3" t="s">
        <v>592</v>
      </c>
      <c r="C427" s="3" t="s">
        <v>604</v>
      </c>
      <c r="D427" s="3" t="s">
        <v>641</v>
      </c>
      <c r="E427" s="3" t="s">
        <v>469</v>
      </c>
      <c r="G427" s="2" t="s">
        <v>623</v>
      </c>
      <c r="H427" s="9">
        <v>0.95</v>
      </c>
      <c r="I427" s="2">
        <v>2025</v>
      </c>
    </row>
    <row r="428" spans="1:9" hidden="1" x14ac:dyDescent="0.25">
      <c r="A428" s="2" t="s">
        <v>605</v>
      </c>
      <c r="B428" s="3" t="s">
        <v>592</v>
      </c>
      <c r="C428" s="3" t="s">
        <v>604</v>
      </c>
      <c r="D428" s="3" t="s">
        <v>641</v>
      </c>
      <c r="E428" s="3" t="s">
        <v>469</v>
      </c>
      <c r="G428" s="2" t="s">
        <v>623</v>
      </c>
      <c r="H428" s="9">
        <v>0.95</v>
      </c>
      <c r="I428" s="2">
        <v>2026</v>
      </c>
    </row>
    <row r="429" spans="1:9" hidden="1" x14ac:dyDescent="0.25">
      <c r="A429" s="2" t="s">
        <v>605</v>
      </c>
      <c r="B429" s="3" t="s">
        <v>592</v>
      </c>
      <c r="C429" s="3" t="s">
        <v>604</v>
      </c>
      <c r="D429" s="3" t="s">
        <v>641</v>
      </c>
      <c r="E429" s="3" t="s">
        <v>469</v>
      </c>
      <c r="G429" s="2" t="s">
        <v>623</v>
      </c>
      <c r="H429" s="9">
        <v>0.95</v>
      </c>
      <c r="I429" s="2">
        <v>2027</v>
      </c>
    </row>
    <row r="430" spans="1:9" hidden="1" x14ac:dyDescent="0.25">
      <c r="A430" s="2" t="s">
        <v>605</v>
      </c>
      <c r="B430" s="3" t="s">
        <v>592</v>
      </c>
      <c r="C430" s="3" t="s">
        <v>604</v>
      </c>
      <c r="D430" s="3" t="s">
        <v>641</v>
      </c>
      <c r="E430" s="3" t="s">
        <v>469</v>
      </c>
      <c r="G430" s="2" t="s">
        <v>623</v>
      </c>
      <c r="H430" s="9">
        <v>0.95</v>
      </c>
      <c r="I430" s="2">
        <v>2028</v>
      </c>
    </row>
    <row r="431" spans="1:9" hidden="1" x14ac:dyDescent="0.25">
      <c r="A431" s="2" t="s">
        <v>605</v>
      </c>
      <c r="B431" s="3" t="s">
        <v>592</v>
      </c>
      <c r="C431" s="3" t="s">
        <v>604</v>
      </c>
      <c r="D431" s="3" t="s">
        <v>641</v>
      </c>
      <c r="E431" s="3" t="s">
        <v>469</v>
      </c>
      <c r="G431" s="2" t="s">
        <v>623</v>
      </c>
      <c r="H431" s="9">
        <v>0.3</v>
      </c>
      <c r="I431" s="2">
        <v>2029</v>
      </c>
    </row>
    <row r="432" spans="1:9" x14ac:dyDescent="0.25">
      <c r="A432" s="2" t="s">
        <v>605</v>
      </c>
      <c r="B432" s="3" t="s">
        <v>592</v>
      </c>
      <c r="C432" s="3" t="s">
        <v>604</v>
      </c>
      <c r="D432" s="3" t="s">
        <v>642</v>
      </c>
      <c r="E432" s="10"/>
      <c r="G432" s="5"/>
      <c r="H432" s="5"/>
      <c r="I432" s="2">
        <v>2025</v>
      </c>
    </row>
    <row r="433" spans="1:9" hidden="1" x14ac:dyDescent="0.25">
      <c r="A433" s="2" t="s">
        <v>605</v>
      </c>
      <c r="B433" s="3" t="s">
        <v>592</v>
      </c>
      <c r="C433" s="3" t="s">
        <v>604</v>
      </c>
      <c r="D433" s="3" t="s">
        <v>642</v>
      </c>
      <c r="E433" s="10"/>
      <c r="G433" s="5"/>
      <c r="H433" s="5"/>
      <c r="I433" s="2">
        <v>2026</v>
      </c>
    </row>
    <row r="434" spans="1:9" hidden="1" x14ac:dyDescent="0.25">
      <c r="A434" s="2" t="s">
        <v>605</v>
      </c>
      <c r="B434" s="3" t="s">
        <v>592</v>
      </c>
      <c r="C434" s="3" t="s">
        <v>604</v>
      </c>
      <c r="D434" s="3" t="s">
        <v>642</v>
      </c>
      <c r="E434" s="10"/>
      <c r="G434" s="5"/>
      <c r="H434" s="5"/>
      <c r="I434" s="2">
        <v>2027</v>
      </c>
    </row>
    <row r="435" spans="1:9" hidden="1" x14ac:dyDescent="0.25">
      <c r="A435" s="2" t="s">
        <v>605</v>
      </c>
      <c r="B435" s="3" t="s">
        <v>592</v>
      </c>
      <c r="C435" s="3" t="s">
        <v>604</v>
      </c>
      <c r="D435" s="3" t="s">
        <v>642</v>
      </c>
      <c r="E435" s="10"/>
      <c r="G435" s="5"/>
      <c r="H435" s="5"/>
      <c r="I435" s="2">
        <v>2028</v>
      </c>
    </row>
    <row r="436" spans="1:9" hidden="1" x14ac:dyDescent="0.25">
      <c r="A436" s="2" t="s">
        <v>605</v>
      </c>
      <c r="B436" s="3" t="s">
        <v>592</v>
      </c>
      <c r="C436" s="3" t="s">
        <v>604</v>
      </c>
      <c r="D436" s="3" t="s">
        <v>642</v>
      </c>
      <c r="E436" s="10"/>
      <c r="G436" s="5"/>
      <c r="H436" s="5"/>
      <c r="I436" s="2">
        <v>2029</v>
      </c>
    </row>
    <row r="437" spans="1:9" x14ac:dyDescent="0.25">
      <c r="A437" s="2" t="s">
        <v>605</v>
      </c>
      <c r="B437" s="3" t="s">
        <v>592</v>
      </c>
      <c r="C437" s="3" t="s">
        <v>604</v>
      </c>
      <c r="D437" s="3" t="s">
        <v>643</v>
      </c>
      <c r="E437" s="3" t="s">
        <v>273</v>
      </c>
      <c r="G437" s="2" t="s">
        <v>639</v>
      </c>
      <c r="H437" s="9">
        <v>0.1</v>
      </c>
      <c r="I437" s="2">
        <v>2025</v>
      </c>
    </row>
    <row r="438" spans="1:9" hidden="1" x14ac:dyDescent="0.25">
      <c r="A438" s="2" t="s">
        <v>605</v>
      </c>
      <c r="B438" s="3" t="s">
        <v>592</v>
      </c>
      <c r="C438" s="3" t="s">
        <v>604</v>
      </c>
      <c r="D438" s="3" t="s">
        <v>643</v>
      </c>
      <c r="E438" s="3" t="s">
        <v>273</v>
      </c>
      <c r="G438" s="2" t="s">
        <v>639</v>
      </c>
      <c r="H438" s="9">
        <v>0.25</v>
      </c>
      <c r="I438" s="2">
        <v>2026</v>
      </c>
    </row>
    <row r="439" spans="1:9" hidden="1" x14ac:dyDescent="0.25">
      <c r="A439" s="2" t="s">
        <v>605</v>
      </c>
      <c r="B439" s="3" t="s">
        <v>592</v>
      </c>
      <c r="C439" s="3" t="s">
        <v>604</v>
      </c>
      <c r="D439" s="3" t="s">
        <v>643</v>
      </c>
      <c r="E439" s="3" t="s">
        <v>273</v>
      </c>
      <c r="G439" s="2" t="s">
        <v>639</v>
      </c>
      <c r="H439" s="9">
        <v>0.5</v>
      </c>
      <c r="I439" s="2">
        <v>2027</v>
      </c>
    </row>
    <row r="440" spans="1:9" hidden="1" x14ac:dyDescent="0.25">
      <c r="A440" s="2" t="s">
        <v>605</v>
      </c>
      <c r="B440" s="3" t="s">
        <v>592</v>
      </c>
      <c r="C440" s="3" t="s">
        <v>604</v>
      </c>
      <c r="D440" s="3" t="s">
        <v>643</v>
      </c>
      <c r="E440" s="3" t="s">
        <v>273</v>
      </c>
      <c r="G440" s="2" t="s">
        <v>639</v>
      </c>
      <c r="H440" s="9">
        <v>0.85</v>
      </c>
      <c r="I440" s="2">
        <v>2028</v>
      </c>
    </row>
    <row r="441" spans="1:9" hidden="1" x14ac:dyDescent="0.25">
      <c r="A441" s="2" t="s">
        <v>605</v>
      </c>
      <c r="B441" s="3" t="s">
        <v>592</v>
      </c>
      <c r="C441" s="3" t="s">
        <v>604</v>
      </c>
      <c r="D441" s="3" t="s">
        <v>643</v>
      </c>
      <c r="E441" s="3" t="s">
        <v>273</v>
      </c>
      <c r="G441" s="2" t="s">
        <v>639</v>
      </c>
      <c r="H441" s="9">
        <v>1</v>
      </c>
      <c r="I441" s="2">
        <v>2029</v>
      </c>
    </row>
    <row r="442" spans="1:9" x14ac:dyDescent="0.25">
      <c r="A442" s="2" t="s">
        <v>605</v>
      </c>
      <c r="B442" s="3" t="s">
        <v>592</v>
      </c>
      <c r="C442" s="3" t="s">
        <v>604</v>
      </c>
      <c r="D442" s="3" t="s">
        <v>644</v>
      </c>
      <c r="E442" s="3" t="s">
        <v>474</v>
      </c>
      <c r="G442" s="2" t="s">
        <v>623</v>
      </c>
      <c r="H442" s="13">
        <v>90</v>
      </c>
      <c r="I442" s="2">
        <v>2025</v>
      </c>
    </row>
    <row r="443" spans="1:9" hidden="1" x14ac:dyDescent="0.25">
      <c r="A443" s="2" t="s">
        <v>605</v>
      </c>
      <c r="B443" s="3" t="s">
        <v>592</v>
      </c>
      <c r="C443" s="3" t="s">
        <v>604</v>
      </c>
      <c r="D443" s="3" t="s">
        <v>644</v>
      </c>
      <c r="E443" s="3" t="s">
        <v>474</v>
      </c>
      <c r="G443" s="2" t="s">
        <v>623</v>
      </c>
      <c r="H443" s="13">
        <v>90</v>
      </c>
      <c r="I443" s="2">
        <v>2026</v>
      </c>
    </row>
    <row r="444" spans="1:9" hidden="1" x14ac:dyDescent="0.25">
      <c r="A444" s="2" t="s">
        <v>605</v>
      </c>
      <c r="B444" s="3" t="s">
        <v>592</v>
      </c>
      <c r="C444" s="3" t="s">
        <v>604</v>
      </c>
      <c r="D444" s="3" t="s">
        <v>644</v>
      </c>
      <c r="E444" s="3" t="s">
        <v>474</v>
      </c>
      <c r="G444" s="2" t="s">
        <v>623</v>
      </c>
      <c r="H444" s="13">
        <v>90</v>
      </c>
      <c r="I444" s="2">
        <v>2027</v>
      </c>
    </row>
    <row r="445" spans="1:9" hidden="1" x14ac:dyDescent="0.25">
      <c r="A445" s="2" t="s">
        <v>605</v>
      </c>
      <c r="B445" s="3" t="s">
        <v>592</v>
      </c>
      <c r="C445" s="3" t="s">
        <v>604</v>
      </c>
      <c r="D445" s="3" t="s">
        <v>644</v>
      </c>
      <c r="E445" s="3" t="s">
        <v>474</v>
      </c>
      <c r="G445" s="2" t="s">
        <v>623</v>
      </c>
      <c r="H445" s="13">
        <v>90</v>
      </c>
      <c r="I445" s="2">
        <v>2028</v>
      </c>
    </row>
    <row r="446" spans="1:9" hidden="1" x14ac:dyDescent="0.25">
      <c r="A446" s="2" t="s">
        <v>605</v>
      </c>
      <c r="B446" s="3" t="s">
        <v>592</v>
      </c>
      <c r="C446" s="3" t="s">
        <v>604</v>
      </c>
      <c r="D446" s="3" t="s">
        <v>644</v>
      </c>
      <c r="E446" s="3" t="s">
        <v>474</v>
      </c>
      <c r="G446" s="2" t="s">
        <v>623</v>
      </c>
      <c r="H446" s="13">
        <v>0</v>
      </c>
      <c r="I446" s="2">
        <v>2029</v>
      </c>
    </row>
    <row r="447" spans="1:9" x14ac:dyDescent="0.25">
      <c r="A447" s="2" t="s">
        <v>605</v>
      </c>
      <c r="B447" s="3" t="s">
        <v>592</v>
      </c>
      <c r="C447" s="3" t="s">
        <v>604</v>
      </c>
      <c r="D447" s="3" t="s">
        <v>644</v>
      </c>
      <c r="E447" s="3" t="s">
        <v>475</v>
      </c>
      <c r="G447" s="2" t="s">
        <v>623</v>
      </c>
      <c r="H447" s="14">
        <v>100</v>
      </c>
      <c r="I447" s="2">
        <v>2025</v>
      </c>
    </row>
    <row r="448" spans="1:9" hidden="1" x14ac:dyDescent="0.25">
      <c r="A448" s="2" t="s">
        <v>605</v>
      </c>
      <c r="B448" s="3" t="s">
        <v>592</v>
      </c>
      <c r="C448" s="3" t="s">
        <v>604</v>
      </c>
      <c r="D448" s="3" t="s">
        <v>644</v>
      </c>
      <c r="E448" s="3" t="s">
        <v>475</v>
      </c>
      <c r="G448" s="2" t="s">
        <v>623</v>
      </c>
      <c r="H448" s="14">
        <v>100</v>
      </c>
      <c r="I448" s="2">
        <v>2026</v>
      </c>
    </row>
    <row r="449" spans="1:9" hidden="1" x14ac:dyDescent="0.25">
      <c r="A449" s="2" t="s">
        <v>605</v>
      </c>
      <c r="B449" s="3" t="s">
        <v>592</v>
      </c>
      <c r="C449" s="3" t="s">
        <v>604</v>
      </c>
      <c r="D449" s="3" t="s">
        <v>644</v>
      </c>
      <c r="E449" s="3" t="s">
        <v>475</v>
      </c>
      <c r="G449" s="2" t="s">
        <v>623</v>
      </c>
      <c r="H449" s="14">
        <v>100</v>
      </c>
      <c r="I449" s="2">
        <v>2027</v>
      </c>
    </row>
    <row r="450" spans="1:9" hidden="1" x14ac:dyDescent="0.25">
      <c r="A450" s="2" t="s">
        <v>605</v>
      </c>
      <c r="B450" s="3" t="s">
        <v>592</v>
      </c>
      <c r="C450" s="3" t="s">
        <v>604</v>
      </c>
      <c r="D450" s="3" t="s">
        <v>644</v>
      </c>
      <c r="E450" s="3" t="s">
        <v>475</v>
      </c>
      <c r="G450" s="2" t="s">
        <v>623</v>
      </c>
      <c r="H450" s="14">
        <v>100</v>
      </c>
      <c r="I450" s="2">
        <v>2028</v>
      </c>
    </row>
    <row r="451" spans="1:9" hidden="1" x14ac:dyDescent="0.25">
      <c r="A451" s="2" t="s">
        <v>605</v>
      </c>
      <c r="B451" s="3" t="s">
        <v>592</v>
      </c>
      <c r="C451" s="3" t="s">
        <v>604</v>
      </c>
      <c r="D451" s="3" t="s">
        <v>644</v>
      </c>
      <c r="E451" s="3" t="s">
        <v>475</v>
      </c>
      <c r="G451" s="2" t="s">
        <v>623</v>
      </c>
      <c r="H451" s="14">
        <v>100</v>
      </c>
      <c r="I451" s="2">
        <v>2029</v>
      </c>
    </row>
    <row r="452" spans="1:9" x14ac:dyDescent="0.25">
      <c r="A452" s="2" t="s">
        <v>605</v>
      </c>
      <c r="B452" s="3" t="s">
        <v>592</v>
      </c>
      <c r="C452" s="3" t="s">
        <v>604</v>
      </c>
      <c r="D452" s="3" t="s">
        <v>644</v>
      </c>
      <c r="E452" s="3" t="s">
        <v>645</v>
      </c>
      <c r="G452" s="2" t="s">
        <v>623</v>
      </c>
      <c r="H452" s="13">
        <v>90</v>
      </c>
      <c r="I452" s="2">
        <v>2025</v>
      </c>
    </row>
    <row r="453" spans="1:9" hidden="1" x14ac:dyDescent="0.25">
      <c r="A453" s="2" t="s">
        <v>605</v>
      </c>
      <c r="B453" s="3" t="s">
        <v>592</v>
      </c>
      <c r="C453" s="3" t="s">
        <v>604</v>
      </c>
      <c r="D453" s="3" t="s">
        <v>644</v>
      </c>
      <c r="E453" s="3" t="s">
        <v>645</v>
      </c>
      <c r="G453" s="2" t="s">
        <v>623</v>
      </c>
      <c r="H453" s="13">
        <v>90</v>
      </c>
      <c r="I453" s="2">
        <v>2026</v>
      </c>
    </row>
    <row r="454" spans="1:9" hidden="1" x14ac:dyDescent="0.25">
      <c r="A454" s="2" t="s">
        <v>605</v>
      </c>
      <c r="B454" s="3" t="s">
        <v>592</v>
      </c>
      <c r="C454" s="3" t="s">
        <v>604</v>
      </c>
      <c r="D454" s="3" t="s">
        <v>644</v>
      </c>
      <c r="E454" s="3" t="s">
        <v>645</v>
      </c>
      <c r="G454" s="2" t="s">
        <v>623</v>
      </c>
      <c r="H454" s="13">
        <v>90</v>
      </c>
      <c r="I454" s="2">
        <v>2027</v>
      </c>
    </row>
    <row r="455" spans="1:9" hidden="1" x14ac:dyDescent="0.25">
      <c r="A455" s="2" t="s">
        <v>605</v>
      </c>
      <c r="B455" s="3" t="s">
        <v>592</v>
      </c>
      <c r="C455" s="3" t="s">
        <v>604</v>
      </c>
      <c r="D455" s="3" t="s">
        <v>644</v>
      </c>
      <c r="E455" s="3" t="s">
        <v>645</v>
      </c>
      <c r="G455" s="2" t="s">
        <v>623</v>
      </c>
      <c r="H455" s="13">
        <v>90</v>
      </c>
      <c r="I455" s="2">
        <v>2028</v>
      </c>
    </row>
    <row r="456" spans="1:9" hidden="1" x14ac:dyDescent="0.25">
      <c r="A456" s="2" t="s">
        <v>605</v>
      </c>
      <c r="B456" s="3" t="s">
        <v>592</v>
      </c>
      <c r="C456" s="3" t="s">
        <v>604</v>
      </c>
      <c r="D456" s="3" t="s">
        <v>644</v>
      </c>
      <c r="E456" s="3" t="s">
        <v>645</v>
      </c>
      <c r="G456" s="2" t="s">
        <v>623</v>
      </c>
      <c r="H456" s="13">
        <v>0</v>
      </c>
      <c r="I456" s="2">
        <v>2029</v>
      </c>
    </row>
    <row r="457" spans="1:9" x14ac:dyDescent="0.25">
      <c r="A457" s="2" t="s">
        <v>605</v>
      </c>
      <c r="B457" s="3" t="s">
        <v>592</v>
      </c>
      <c r="C457" s="3" t="s">
        <v>604</v>
      </c>
      <c r="D457" s="3" t="s">
        <v>644</v>
      </c>
      <c r="E457" s="3" t="s">
        <v>477</v>
      </c>
      <c r="G457" s="2" t="s">
        <v>623</v>
      </c>
      <c r="H457" s="13">
        <v>90</v>
      </c>
      <c r="I457" s="2">
        <v>2025</v>
      </c>
    </row>
    <row r="458" spans="1:9" hidden="1" x14ac:dyDescent="0.25">
      <c r="A458" s="2" t="s">
        <v>605</v>
      </c>
      <c r="B458" s="3" t="s">
        <v>592</v>
      </c>
      <c r="C458" s="3" t="s">
        <v>604</v>
      </c>
      <c r="D458" s="3" t="s">
        <v>644</v>
      </c>
      <c r="E458" s="3" t="s">
        <v>477</v>
      </c>
      <c r="G458" s="2" t="s">
        <v>623</v>
      </c>
      <c r="H458" s="13">
        <v>90</v>
      </c>
      <c r="I458" s="2">
        <v>2026</v>
      </c>
    </row>
    <row r="459" spans="1:9" hidden="1" x14ac:dyDescent="0.25">
      <c r="A459" s="2" t="s">
        <v>605</v>
      </c>
      <c r="B459" s="3" t="s">
        <v>592</v>
      </c>
      <c r="C459" s="3" t="s">
        <v>604</v>
      </c>
      <c r="D459" s="3" t="s">
        <v>644</v>
      </c>
      <c r="E459" s="3" t="s">
        <v>477</v>
      </c>
      <c r="G459" s="2" t="s">
        <v>623</v>
      </c>
      <c r="H459" s="13">
        <v>90</v>
      </c>
      <c r="I459" s="2">
        <v>2027</v>
      </c>
    </row>
    <row r="460" spans="1:9" hidden="1" x14ac:dyDescent="0.25">
      <c r="A460" s="2" t="s">
        <v>605</v>
      </c>
      <c r="B460" s="3" t="s">
        <v>592</v>
      </c>
      <c r="C460" s="3" t="s">
        <v>604</v>
      </c>
      <c r="D460" s="3" t="s">
        <v>644</v>
      </c>
      <c r="E460" s="3" t="s">
        <v>477</v>
      </c>
      <c r="G460" s="2" t="s">
        <v>623</v>
      </c>
      <c r="H460" s="13">
        <v>90</v>
      </c>
      <c r="I460" s="2">
        <v>2028</v>
      </c>
    </row>
    <row r="461" spans="1:9" hidden="1" x14ac:dyDescent="0.25">
      <c r="A461" s="2" t="s">
        <v>605</v>
      </c>
      <c r="B461" s="3" t="s">
        <v>592</v>
      </c>
      <c r="C461" s="3" t="s">
        <v>604</v>
      </c>
      <c r="D461" s="3" t="s">
        <v>644</v>
      </c>
      <c r="E461" s="3" t="s">
        <v>477</v>
      </c>
      <c r="G461" s="2" t="s">
        <v>623</v>
      </c>
      <c r="H461" s="13">
        <v>0</v>
      </c>
      <c r="I461" s="2">
        <v>2029</v>
      </c>
    </row>
    <row r="462" spans="1:9" x14ac:dyDescent="0.25">
      <c r="A462" s="2" t="s">
        <v>605</v>
      </c>
      <c r="B462" s="3" t="s">
        <v>592</v>
      </c>
      <c r="C462" s="3" t="s">
        <v>604</v>
      </c>
      <c r="D462" s="3" t="s">
        <v>644</v>
      </c>
      <c r="E462" s="3" t="s">
        <v>259</v>
      </c>
      <c r="G462" s="2" t="s">
        <v>623</v>
      </c>
      <c r="H462" s="13">
        <v>90</v>
      </c>
      <c r="I462" s="2">
        <v>2025</v>
      </c>
    </row>
    <row r="463" spans="1:9" hidden="1" x14ac:dyDescent="0.25">
      <c r="A463" s="2" t="s">
        <v>605</v>
      </c>
      <c r="B463" s="3" t="s">
        <v>592</v>
      </c>
      <c r="C463" s="3" t="s">
        <v>604</v>
      </c>
      <c r="D463" s="3" t="s">
        <v>644</v>
      </c>
      <c r="E463" s="3" t="s">
        <v>259</v>
      </c>
      <c r="G463" s="2" t="s">
        <v>623</v>
      </c>
      <c r="H463" s="13">
        <v>90</v>
      </c>
      <c r="I463" s="2">
        <v>2026</v>
      </c>
    </row>
    <row r="464" spans="1:9" hidden="1" x14ac:dyDescent="0.25">
      <c r="A464" s="2" t="s">
        <v>605</v>
      </c>
      <c r="B464" s="3" t="s">
        <v>592</v>
      </c>
      <c r="C464" s="3" t="s">
        <v>604</v>
      </c>
      <c r="D464" s="3" t="s">
        <v>644</v>
      </c>
      <c r="E464" s="3" t="s">
        <v>259</v>
      </c>
      <c r="G464" s="2" t="s">
        <v>623</v>
      </c>
      <c r="H464" s="13">
        <v>90</v>
      </c>
      <c r="I464" s="2">
        <v>2027</v>
      </c>
    </row>
    <row r="465" spans="1:9" hidden="1" x14ac:dyDescent="0.25">
      <c r="A465" s="2" t="s">
        <v>605</v>
      </c>
      <c r="B465" s="3" t="s">
        <v>592</v>
      </c>
      <c r="C465" s="3" t="s">
        <v>604</v>
      </c>
      <c r="D465" s="3" t="s">
        <v>644</v>
      </c>
      <c r="E465" s="3" t="s">
        <v>259</v>
      </c>
      <c r="G465" s="2" t="s">
        <v>623</v>
      </c>
      <c r="H465" s="13">
        <v>90</v>
      </c>
      <c r="I465" s="2">
        <v>2028</v>
      </c>
    </row>
    <row r="466" spans="1:9" hidden="1" x14ac:dyDescent="0.25">
      <c r="A466" s="2" t="s">
        <v>605</v>
      </c>
      <c r="B466" s="3" t="s">
        <v>592</v>
      </c>
      <c r="C466" s="3" t="s">
        <v>604</v>
      </c>
      <c r="D466" s="3" t="s">
        <v>644</v>
      </c>
      <c r="E466" s="3" t="s">
        <v>259</v>
      </c>
      <c r="G466" s="2" t="s">
        <v>623</v>
      </c>
      <c r="H466" s="13">
        <v>0</v>
      </c>
      <c r="I466" s="2">
        <v>2029</v>
      </c>
    </row>
    <row r="467" spans="1:9" x14ac:dyDescent="0.25">
      <c r="A467" s="2" t="s">
        <v>605</v>
      </c>
      <c r="B467" s="3" t="s">
        <v>592</v>
      </c>
      <c r="C467" s="3" t="s">
        <v>604</v>
      </c>
      <c r="D467" s="3" t="s">
        <v>644</v>
      </c>
      <c r="E467" s="3" t="s">
        <v>244</v>
      </c>
      <c r="G467" s="2" t="s">
        <v>623</v>
      </c>
      <c r="H467" s="13">
        <v>90</v>
      </c>
      <c r="I467" s="2">
        <v>2025</v>
      </c>
    </row>
    <row r="468" spans="1:9" hidden="1" x14ac:dyDescent="0.25">
      <c r="A468" s="2" t="s">
        <v>605</v>
      </c>
      <c r="B468" s="3" t="s">
        <v>592</v>
      </c>
      <c r="C468" s="3" t="s">
        <v>604</v>
      </c>
      <c r="D468" s="3" t="s">
        <v>644</v>
      </c>
      <c r="E468" s="3" t="s">
        <v>244</v>
      </c>
      <c r="G468" s="2" t="s">
        <v>623</v>
      </c>
      <c r="H468" s="13">
        <v>90</v>
      </c>
      <c r="I468" s="2">
        <v>2026</v>
      </c>
    </row>
    <row r="469" spans="1:9" hidden="1" x14ac:dyDescent="0.25">
      <c r="A469" s="2" t="s">
        <v>605</v>
      </c>
      <c r="B469" s="3" t="s">
        <v>592</v>
      </c>
      <c r="C469" s="3" t="s">
        <v>604</v>
      </c>
      <c r="D469" s="3" t="s">
        <v>644</v>
      </c>
      <c r="E469" s="3" t="s">
        <v>244</v>
      </c>
      <c r="G469" s="2" t="s">
        <v>623</v>
      </c>
      <c r="H469" s="13">
        <v>90</v>
      </c>
      <c r="I469" s="2">
        <v>2027</v>
      </c>
    </row>
    <row r="470" spans="1:9" hidden="1" x14ac:dyDescent="0.25">
      <c r="A470" s="2" t="s">
        <v>605</v>
      </c>
      <c r="B470" s="3" t="s">
        <v>592</v>
      </c>
      <c r="C470" s="3" t="s">
        <v>604</v>
      </c>
      <c r="D470" s="3" t="s">
        <v>644</v>
      </c>
      <c r="E470" s="3" t="s">
        <v>244</v>
      </c>
      <c r="G470" s="2" t="s">
        <v>623</v>
      </c>
      <c r="H470" s="13">
        <v>90</v>
      </c>
      <c r="I470" s="2">
        <v>2028</v>
      </c>
    </row>
    <row r="471" spans="1:9" hidden="1" x14ac:dyDescent="0.25">
      <c r="A471" s="2" t="s">
        <v>605</v>
      </c>
      <c r="B471" s="3" t="s">
        <v>592</v>
      </c>
      <c r="C471" s="3" t="s">
        <v>604</v>
      </c>
      <c r="D471" s="3" t="s">
        <v>644</v>
      </c>
      <c r="E471" s="3" t="s">
        <v>244</v>
      </c>
      <c r="G471" s="2" t="s">
        <v>623</v>
      </c>
      <c r="H471" s="13">
        <v>0</v>
      </c>
      <c r="I471" s="2">
        <v>2029</v>
      </c>
    </row>
  </sheetData>
  <autoFilter ref="A1:I471" xr:uid="{C7E0938C-FF2C-4CA9-AE12-8C110680DD93}">
    <filterColumn colId="0">
      <filters>
        <filter val="3. Cumplimiento"/>
      </filters>
    </filterColumn>
    <filterColumn colId="8">
      <filters>
        <filter val="2025"/>
      </filters>
    </filterColumn>
  </autoFilter>
  <phoneticPr fontId="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1938D5DB1A0144BB106833F3DA9631" ma:contentTypeVersion="3" ma:contentTypeDescription="Crear nuevo documento." ma:contentTypeScope="" ma:versionID="f438c5e22ac2b7b562e3e50870b14e54">
  <xsd:schema xmlns:xsd="http://www.w3.org/2001/XMLSchema" xmlns:xs="http://www.w3.org/2001/XMLSchema" xmlns:p="http://schemas.microsoft.com/office/2006/metadata/properties" xmlns:ns2="be8d293c-c26d-40cf-8f59-fc8ee1ad0d59" targetNamespace="http://schemas.microsoft.com/office/2006/metadata/properties" ma:root="true" ma:fieldsID="e0726feae5f92ccf6db22efe2a09c2c8" ns2:_="">
    <xsd:import namespace="be8d293c-c26d-40cf-8f59-fc8ee1ad0d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8d293c-c26d-40cf-8f59-fc8ee1ad0d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7AA9AB-D1E4-497C-9652-E37BFA7FF569}"/>
</file>

<file path=customXml/itemProps2.xml><?xml version="1.0" encoding="utf-8"?>
<ds:datastoreItem xmlns:ds="http://schemas.openxmlformats.org/officeDocument/2006/customXml" ds:itemID="{9F4C21DE-2D88-4852-9129-02A948DDC3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21A48F-2E7E-4A0D-BD39-ABA64F20034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Plan Indicativo PEDI</vt:lpstr>
      <vt:lpstr>PI_V1</vt:lpstr>
      <vt:lpstr>Presupuesto</vt:lpstr>
      <vt:lpstr>Detallado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Héctor Arturo Torrado Díaz</dc:creator>
  <cp:keywords/>
  <dc:description/>
  <cp:lastModifiedBy>Carolina Maria Gonzalez Restrepo - Contratista IUE</cp:lastModifiedBy>
  <cp:revision/>
  <dcterms:created xsi:type="dcterms:W3CDTF">2025-07-22T19:36:05Z</dcterms:created>
  <dcterms:modified xsi:type="dcterms:W3CDTF">2025-09-05T01:54:07Z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0x010100211938D5DB1A0144BB106833F3DA9631</vt:lpwstr>
  </property>
</Properties>
</file>